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50" tabRatio="933" firstSheet="29" activeTab="30"/>
  </bookViews>
  <sheets>
    <sheet name="First-Page" sheetId="1" r:id="rId1"/>
    <sheet name="Contents" sheetId="2" r:id="rId2"/>
    <sheet name="AT-1-Gen_Info " sheetId="3" r:id="rId3"/>
    <sheet name="AT-2-S1 BUDGET" sheetId="4" r:id="rId4"/>
    <sheet name="AT_2A_fundflow" sheetId="5" r:id="rId5"/>
    <sheet name="AT-3" sheetId="6" r:id="rId6"/>
    <sheet name="AT3A_cvrg(Insti)_PY" sheetId="7" r:id="rId7"/>
    <sheet name="AT3B_cvrg(Insti)_UPY " sheetId="8" r:id="rId8"/>
    <sheet name="AT3C_cvrg(Insti)_UPY " sheetId="9" r:id="rId9"/>
    <sheet name="enrolment vs availed_PY" sheetId="10" r:id="rId10"/>
    <sheet name="enrolment vs availed_UPY" sheetId="11" r:id="rId11"/>
    <sheet name="T5_PLAN_vs_PRFM" sheetId="12" r:id="rId12"/>
    <sheet name="T5A_PLAN_vs_PRFM " sheetId="13" r:id="rId13"/>
    <sheet name="T5B_PLAN_vs_PRFM  (2)" sheetId="14" r:id="rId14"/>
    <sheet name="T5C_Drought_PLAN_vs_PRFM " sheetId="15" r:id="rId15"/>
    <sheet name="T5D_Drought_PLAN_vs_PRFM  " sheetId="16" r:id="rId16"/>
    <sheet name="T6_FG_py_Utlsn" sheetId="17" r:id="rId17"/>
    <sheet name="T6A_FG_Upy_Utlsn " sheetId="18" r:id="rId18"/>
    <sheet name="T6B_Pay_FG_FCI_Pry" sheetId="19" r:id="rId19"/>
    <sheet name="T6C_Coarse_Grain" sheetId="20" r:id="rId20"/>
    <sheet name="T7_CC_PY_Utlsn" sheetId="21" r:id="rId21"/>
    <sheet name="T7ACC_UPY_Utlsn " sheetId="22" r:id="rId22"/>
    <sheet name="AT-8_Hon_CCH_Pry" sheetId="23" r:id="rId23"/>
    <sheet name="AT-8A_Hon_CCH_UPry" sheetId="24" r:id="rId24"/>
    <sheet name="AT9 TA" sheetId="25" r:id="rId25"/>
    <sheet name="AT10_MME" sheetId="26" r:id="rId26"/>
    <sheet name="AT10A_meeting" sheetId="27" r:id="rId27"/>
    <sheet name="AT-10B_social audit" sheetId="28" r:id="rId28"/>
    <sheet name="AT-10 C_IEC" sheetId="29" r:id="rId29"/>
    <sheet name="AT-10 D_manpower" sheetId="30" r:id="rId30"/>
    <sheet name="AT-10E_kit.garden" sheetId="31" r:id="rId31"/>
    <sheet name="AT-10F_Trg. CCH" sheetId="32" r:id="rId32"/>
    <sheet name="AT11_KS Year wise" sheetId="33" r:id="rId33"/>
    <sheet name="AT11A_KS-District wise" sheetId="34" r:id="rId34"/>
    <sheet name="AT12_KD-New" sheetId="35" r:id="rId35"/>
    <sheet name="AT12A_KD-Replacement" sheetId="36" r:id="rId36"/>
    <sheet name="Mode of cooking" sheetId="37" r:id="rId37"/>
    <sheet name="AT-14" sheetId="38" r:id="rId38"/>
    <sheet name="AT-14 A" sheetId="39" r:id="rId39"/>
    <sheet name="AT-15" sheetId="40" r:id="rId40"/>
    <sheet name="AT-16" sheetId="41" r:id="rId41"/>
    <sheet name="AT_17_Coverage-RBSK " sheetId="42" r:id="rId42"/>
    <sheet name="AT18_Details_Community " sheetId="43" r:id="rId43"/>
    <sheet name="AT_19_Impl_Agency" sheetId="44" r:id="rId44"/>
    <sheet name="AT20 central cooking agency" sheetId="45" r:id="rId45"/>
    <sheet name="AT-21" sheetId="46" r:id="rId46"/>
    <sheet name="22" sheetId="47" r:id="rId47"/>
    <sheet name="AT-23 MIS" sheetId="48" r:id="rId48"/>
    <sheet name="23A-AMS" sheetId="49" r:id="rId49"/>
    <sheet name="24" sheetId="50" r:id="rId50"/>
    <sheet name="25" sheetId="51" r:id="rId51"/>
    <sheet name="Sheet1 (2)" sheetId="52" r:id="rId52"/>
    <sheet name="AT 26_NoWD" sheetId="53" r:id="rId53"/>
    <sheet name="AT26A_NoWD" sheetId="54" r:id="rId54"/>
    <sheet name="AT-27 Req FG CA Pry" sheetId="55" r:id="rId55"/>
    <sheet name="AT-27A Req FG CA U Pry" sheetId="56" r:id="rId56"/>
    <sheet name="AT-27B_NCLP" sheetId="57" r:id="rId57"/>
    <sheet name="AT-27C Drought" sheetId="58" r:id="rId58"/>
    <sheet name="ATA-27D Drought" sheetId="59" r:id="rId59"/>
    <sheet name="AT_28_RqmtKitchen" sheetId="60" r:id="rId60"/>
    <sheet name="AT-28A_RqmtPlinthArea" sheetId="61" r:id="rId61"/>
    <sheet name="AT-28B kitchen repair" sheetId="62" r:id="rId62"/>
    <sheet name="AT29 Replacement new KD" sheetId="63" r:id="rId63"/>
    <sheet name="AT_A Replacement KD" sheetId="64" r:id="rId64"/>
    <sheet name="AT-30_Coook-cum-Helper" sheetId="65" r:id="rId65"/>
    <sheet name="AT_31_Budget_provision " sheetId="66" r:id="rId66"/>
    <sheet name="Req_FG_CA_Pry" sheetId="67" r:id="rId67"/>
    <sheet name="Req_FG_CA_UPry " sheetId="68" r:id="rId68"/>
    <sheet name="Sheet1" sheetId="69" r:id="rId69"/>
  </sheets>
  <definedNames>
    <definedName name="_xlnm.Print_Area" localSheetId="52">'AT 26_NoWD'!$A$1:$L$35</definedName>
    <definedName name="_xlnm.Print_Area" localSheetId="41">'AT_17_Coverage-RBSK '!$A$1:$N$36</definedName>
    <definedName name="_xlnm.Print_Area" localSheetId="43">'AT_19_Impl_Agency'!$A$1:$J$29</definedName>
    <definedName name="_xlnm.Print_Area" localSheetId="59">'AT_28_RqmtKitchen'!$A$1:$T$41</definedName>
    <definedName name="_xlnm.Print_Area" localSheetId="4">'AT_2A_fundflow'!$A$1:$W$40</definedName>
    <definedName name="_xlnm.Print_Area" localSheetId="65">'AT_31_Budget_provision '!$A$1:$W$41</definedName>
    <definedName name="_xlnm.Print_Area" localSheetId="28">'AT-10 C_IEC'!$A$1:$K$34</definedName>
    <definedName name="_xlnm.Print_Area" localSheetId="29">'AT-10 D_manpower'!$A$1:$L$37</definedName>
    <definedName name="_xlnm.Print_Area" localSheetId="25">'AT10_MME'!$A$1:$H$36</definedName>
    <definedName name="_xlnm.Print_Area" localSheetId="26">'AT10A_meeting'!$A$1:$E$29</definedName>
    <definedName name="_xlnm.Print_Area" localSheetId="27">'AT-10B_social audit'!$A$1:$K$30</definedName>
    <definedName name="_xlnm.Print_Area" localSheetId="32">'AT11_KS Year wise'!$A$1:$K$39</definedName>
    <definedName name="_xlnm.Print_Area" localSheetId="33">'AT11A_KS-District wise'!$A$1:$K$31</definedName>
    <definedName name="_xlnm.Print_Area" localSheetId="34">'AT12_KD-New'!$A$1:$K$32</definedName>
    <definedName name="_xlnm.Print_Area" localSheetId="35">'AT12A_KD-Replacement'!$A$1:$K$30</definedName>
    <definedName name="_xlnm.Print_Area" localSheetId="37">'AT-14'!$A$1:$N$28</definedName>
    <definedName name="_xlnm.Print_Area" localSheetId="38">'AT-14 A'!$A$1:$H$26</definedName>
    <definedName name="_xlnm.Print_Area" localSheetId="39">'AT-15'!$A$1:$L$32</definedName>
    <definedName name="_xlnm.Print_Area" localSheetId="40">'AT-16'!$A$1:$I$24</definedName>
    <definedName name="_xlnm.Print_Area" localSheetId="42">'AT18_Details_Community '!$A$1:$F$32</definedName>
    <definedName name="_xlnm.Print_Area" localSheetId="2">'AT-1-Gen_Info '!$A$1:$T$64</definedName>
    <definedName name="_xlnm.Print_Area" localSheetId="53">'AT26A_NoWD'!$A$1:$K$36</definedName>
    <definedName name="_xlnm.Print_Area" localSheetId="60">'AT-28A_RqmtPlinthArea'!$A$1:$S$28</definedName>
    <definedName name="_xlnm.Print_Area" localSheetId="3">'AT-2-S1 BUDGET'!$A$1:$V$40</definedName>
    <definedName name="_xlnm.Print_Area" localSheetId="64">'AT-30_Coook-cum-Helper'!$A$1:$L$31</definedName>
    <definedName name="_xlnm.Print_Area" localSheetId="6">'AT3A_cvrg(Insti)_PY'!$A$1:$N$31</definedName>
    <definedName name="_xlnm.Print_Area" localSheetId="7">'AT3B_cvrg(Insti)_UPY '!$A$1:$N$31</definedName>
    <definedName name="_xlnm.Print_Area" localSheetId="8">'AT3C_cvrg(Insti)_UPY '!$A$1:$N$32</definedName>
    <definedName name="_xlnm.Print_Area" localSheetId="22">'AT-8_Hon_CCH_Pry'!$A$1:$V$37</definedName>
    <definedName name="_xlnm.Print_Area" localSheetId="24">'AT9 TA'!$A$1:$H$31</definedName>
    <definedName name="_xlnm.Print_Area" localSheetId="1">'Contents'!$A$1:$C$66</definedName>
    <definedName name="_xlnm.Print_Area" localSheetId="9">'enrolment vs availed_PY'!$A$1:$R$33</definedName>
    <definedName name="_xlnm.Print_Area" localSheetId="10">'enrolment vs availed_UPY'!$A$1:$Q$36</definedName>
    <definedName name="_xlnm.Print_Area" localSheetId="36">'Mode of cooking'!$A$1:$G$28</definedName>
    <definedName name="_xlnm.Print_Area" localSheetId="66">'Req_FG_CA_Pry'!$A$1:$T$40</definedName>
    <definedName name="_xlnm.Print_Area" localSheetId="67">'Req_FG_CA_UPry '!$A$1:$T$41</definedName>
    <definedName name="_xlnm.Print_Area" localSheetId="51">'Sheet1 (2)'!$A$1:$J$24</definedName>
    <definedName name="_xlnm.Print_Area" localSheetId="11">'T5_PLAN_vs_PRFM'!$A$1:$J$30</definedName>
    <definedName name="_xlnm.Print_Area" localSheetId="12">'T5A_PLAN_vs_PRFM '!$A$1:$J$29</definedName>
    <definedName name="_xlnm.Print_Area" localSheetId="13">'T5B_PLAN_vs_PRFM  (2)'!$A$1:$J$29</definedName>
    <definedName name="_xlnm.Print_Area" localSheetId="14">'T5C_Drought_PLAN_vs_PRFM '!$A$1:$J$29</definedName>
    <definedName name="_xlnm.Print_Area" localSheetId="15">'T5D_Drought_PLAN_vs_PRFM  '!$A$1:$J$27</definedName>
    <definedName name="_xlnm.Print_Area" localSheetId="16">'T6_FG_py_Utlsn'!$A$1:$L$32</definedName>
    <definedName name="_xlnm.Print_Area" localSheetId="17">'T6A_FG_Upy_Utlsn '!$A$1:$L$31</definedName>
    <definedName name="_xlnm.Print_Area" localSheetId="18">'T6B_Pay_FG_FCI_Pry'!$A$1:$M$34</definedName>
    <definedName name="_xlnm.Print_Area" localSheetId="19">'T6C_Coarse_Grain'!$A$1:$L$31</definedName>
    <definedName name="_xlnm.Print_Area" localSheetId="20">#NULL!</definedName>
    <definedName name="_xlnm.Print_Area" localSheetId="21">'T7ACC_UPY_Utlsn '!$A$1:$Q$29</definedName>
  </definedNames>
  <calcPr fullCalcOnLoad="1"/>
</workbook>
</file>

<file path=xl/sharedStrings.xml><?xml version="1.0" encoding="utf-8"?>
<sst xmlns="http://schemas.openxmlformats.org/spreadsheetml/2006/main" count="2611" uniqueCount="975">
  <si>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</si>
  <si>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</si>
  <si>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</si>
  <si>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</si>
  <si>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</si>
  <si>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</si>
  <si>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</si>
  <si>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</si>
  <si>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</si>
  <si>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</si>
  <si>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</si>
  <si>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</si>
  <si>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</si>
  <si>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</si>
  <si>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</si>
  <si>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</si>
  <si>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</si>
  <si>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</si>
  <si>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</si>
  <si>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</si>
  <si>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</si>
  <si>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</si>
  <si>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</si>
  <si>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</si>
  <si>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</si>
  <si>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</si>
  <si>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</si>
  <si>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</si>
  <si>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</si>
  <si>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</si>
  <si>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</si>
  <si>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</si>
  <si>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</si>
  <si>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</si>
  <si>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</si>
  <si>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</si>
  <si>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</si>
  <si>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</si>
  <si>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</si>
  <si>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</si>
  <si>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</si>
  <si>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</si>
  <si>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</si>
  <si>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</si>
  <si>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</si>
  <si>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</si>
  <si>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</si>
  <si>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</si>
  <si>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</si>
  <si>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</si>
  <si>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</si>
  <si>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</si>
  <si>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</si>
  <si>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</si>
  <si>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</si>
  <si>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</si>
  <si>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</si>
  <si>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</si>
  <si>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</si>
  <si>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</si>
  <si>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</si>
  <si>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</si>
  <si>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</si>
  <si>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</si>
  <si>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</si>
  <si>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</si>
  <si>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</si>
  <si>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</si>
  <si>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</si>
  <si>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</si>
  <si>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</si>
  <si>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</si>
  <si>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</si>
  <si>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</si>
  <si>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</si>
  <si>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</si>
  <si>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</si>
  <si>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</si>
  <si>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</si>
  <si>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</si>
  <si>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</si>
  <si>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</si>
  <si>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</si>
  <si>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</si>
  <si>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</si>
  <si>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</si>
  <si>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</si>
  <si>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</si>
  <si>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</si>
  <si>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</si>
  <si>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</si>
  <si>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</si>
  <si>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</si>
  <si>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</si>
  <si>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</si>
  <si>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</si>
  <si>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>Requirement of funds for Foodgrains (Rs. in lakhs)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</si>
  <si>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</si>
  <si>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</si>
  <si>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</si>
  <si>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</si>
  <si>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</si>
  <si>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</si>
  <si>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</si>
  <si>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</si>
  <si>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</si>
  <si>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</si>
  <si>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</si>
  <si>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</si>
  <si>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</si>
  <si>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</si>
  <si>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</si>
  <si>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</si>
  <si>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</si>
  <si>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</si>
  <si>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</si>
  <si>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</si>
  <si>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</si>
  <si>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</si>
  <si>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*</t>
  </si>
  <si>
    <t>Central assistance received</t>
  </si>
  <si>
    <t>*Rice</t>
  </si>
  <si>
    <t>*Wheat</t>
  </si>
  <si>
    <t>**</t>
  </si>
  <si>
    <t>***</t>
  </si>
  <si>
    <t>Honorarium amount (Rs. In lakhs)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</si>
  <si>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</si>
  <si>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</si>
  <si>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</si>
  <si>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</si>
  <si>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</si>
  <si>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</si>
  <si>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</si>
  <si>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</si>
  <si>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</si>
  <si>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</si>
  <si>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</si>
  <si>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</si>
  <si>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</si>
  <si>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</si>
  <si>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</si>
  <si>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</si>
  <si>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</si>
  <si>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</si>
  <si>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</si>
  <si>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</si>
  <si>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</si>
  <si>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</si>
  <si>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r>
      <t xml:space="preserve">Total  </t>
    </r>
    <r>
      <rPr>
        <b/>
        <i/>
        <sz val="10"/>
        <rFont val="Arial"/>
        <family val="2"/>
      </rPr>
      <t xml:space="preserve"> </t>
    </r>
  </si>
  <si>
    <t>#</t>
  </si>
  <si>
    <t xml:space="preserve"># Rice </t>
  </si>
  <si>
    <t>##</t>
  </si>
  <si>
    <t xml:space="preserve">## Wheat </t>
  </si>
  <si>
    <t xml:space="preserve">Unit Cost </t>
  </si>
  <si>
    <t>(Rs. In lakhs)</t>
  </si>
  <si>
    <t>No. of Institutions assigned to</t>
  </si>
  <si>
    <t>Grand total</t>
  </si>
  <si>
    <t xml:space="preserve">**State 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</si>
  <si>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</si>
  <si>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</si>
  <si>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</si>
  <si>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</si>
  <si>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</si>
  <si>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</si>
  <si>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</si>
  <si>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</si>
  <si>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</si>
  <si>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</si>
  <si>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</si>
  <si>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</si>
  <si>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</si>
  <si>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 xml:space="preserve">$Central share   </t>
  </si>
  <si>
    <t>$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</si>
  <si>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</si>
  <si>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</si>
  <si>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</si>
  <si>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</si>
  <si>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</si>
  <si>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</si>
  <si>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</si>
  <si>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</si>
  <si>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</si>
  <si>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</si>
  <si>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</si>
  <si>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</si>
  <si>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</si>
  <si>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</si>
  <si>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</si>
  <si>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</si>
  <si>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</si>
  <si>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</si>
  <si>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</si>
  <si>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</si>
  <si>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</si>
  <si>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</si>
  <si>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</si>
  <si>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</si>
  <si>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</si>
  <si>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</si>
  <si>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</si>
  <si>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>Requirement of Cooking Assistance (Rs. in lakh)</t>
  </si>
  <si>
    <t xml:space="preserve">*Total </t>
  </si>
  <si>
    <t>States / UTs will indicate their choice.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</si>
  <si>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</si>
  <si>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</si>
  <si>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</si>
  <si>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</si>
  <si>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</si>
  <si>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</si>
  <si>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</si>
  <si>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</si>
  <si>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</si>
  <si>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</si>
  <si>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</si>
  <si>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</si>
  <si>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</si>
  <si>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</si>
  <si>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</si>
  <si>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</si>
  <si>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</si>
  <si>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</si>
  <si>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</si>
  <si>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</si>
  <si>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</si>
  <si>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</si>
  <si>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</si>
  <si>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</si>
  <si>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</si>
  <si>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</si>
  <si>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</si>
  <si>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</si>
  <si>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</si>
  <si>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</si>
  <si>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</si>
  <si>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</si>
  <si>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 xml:space="preserve">Tax per MT foodgrain, if any : 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</si>
  <si>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</si>
  <si>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</si>
  <si>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</si>
  <si>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</si>
  <si>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</si>
  <si>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</si>
  <si>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</si>
  <si>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</si>
  <si>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</si>
  <si>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</si>
  <si>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</si>
  <si>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</si>
  <si>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</si>
  <si>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</si>
  <si>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</si>
  <si>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col.7 x col.8 x State's / UT's share</t>
  </si>
  <si>
    <t>Deworming tablets distributed</t>
  </si>
  <si>
    <t xml:space="preserve">[col. 9]x Rs. PDS rate for Special Category States  </t>
  </si>
  <si>
    <t xml:space="preserve">[col. 9]x Rs. 750 for other States/UTs. 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</si>
  <si>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</si>
  <si>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</si>
  <si>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</si>
  <si>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</si>
  <si>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</si>
  <si>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</si>
  <si>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</si>
  <si>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</si>
  <si>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</si>
  <si>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</si>
  <si>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</si>
  <si>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</si>
  <si>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</si>
  <si>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</si>
  <si>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</si>
  <si>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</si>
  <si>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</si>
  <si>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</si>
  <si>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</si>
  <si>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</si>
  <si>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</si>
  <si>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</si>
  <si>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</si>
  <si>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</si>
  <si>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</si>
  <si>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</si>
  <si>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</si>
  <si>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</si>
  <si>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</si>
  <si>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</si>
  <si>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</si>
  <si>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</si>
  <si>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</si>
  <si>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</si>
  <si>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</si>
  <si>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</si>
  <si>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</si>
  <si>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</si>
  <si>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</si>
  <si>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</si>
  <si>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</si>
  <si>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</si>
  <si>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</si>
  <si>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</si>
  <si>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</si>
  <si>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</si>
  <si>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</si>
  <si>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</si>
  <si>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</si>
  <si>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</si>
  <si>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</si>
  <si>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</si>
  <si>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</si>
  <si>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</si>
  <si>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</si>
  <si>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</si>
  <si>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</si>
  <si>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</si>
  <si>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</si>
  <si>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</si>
  <si>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</si>
  <si>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</si>
  <si>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</si>
  <si>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</si>
  <si>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</si>
  <si>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</si>
  <si>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</si>
  <si>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</si>
  <si>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</si>
  <si>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</si>
  <si>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</si>
  <si>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</si>
  <si>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</si>
  <si>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</si>
  <si>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</si>
  <si>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</si>
  <si>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</si>
  <si>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</si>
  <si>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</si>
  <si>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</si>
  <si>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</si>
  <si>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</si>
  <si>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</si>
  <si>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</si>
  <si>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</si>
  <si>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</si>
  <si>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</si>
  <si>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</si>
  <si>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</si>
  <si>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</si>
  <si>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</si>
  <si>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</si>
  <si>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Toll free number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</si>
  <si>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Dedicated landline number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</si>
  <si>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Call centre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</si>
  <si>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Emails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</si>
  <si>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Press news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</si>
  <si>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Radio/T.V.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</si>
  <si>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SMS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</si>
  <si>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</si>
  <si>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</si>
  <si>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</si>
  <si>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</si>
  <si>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</si>
  <si>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</si>
  <si>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</si>
  <si>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</si>
  <si>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</si>
  <si>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</si>
  <si>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</si>
  <si>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</si>
  <si>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</si>
  <si>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</si>
  <si>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</si>
  <si>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</si>
  <si>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</si>
  <si>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</si>
  <si>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</si>
  <si>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</si>
  <si>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</si>
  <si>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</si>
  <si>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 xml:space="preserve">No. of children availed for MDM </t>
  </si>
  <si>
    <t>No. of children availed for MDM</t>
  </si>
  <si>
    <t>2014-15</t>
  </si>
  <si>
    <t>2015-16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</si>
  <si>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</si>
  <si>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</si>
  <si>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</si>
  <si>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</si>
  <si>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</si>
  <si>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</si>
  <si>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</si>
  <si>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</si>
  <si>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</si>
  <si>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</si>
  <si>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               (col.4+5-6)                         </t>
  </si>
  <si>
    <t xml:space="preserve">Closing Balance**  (col.9+10-11)                         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</si>
  <si>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</si>
  <si>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</si>
  <si>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</si>
  <si>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</si>
  <si>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>**state share includes funds as well as monetary value of the commodities supplied by the State/UT</t>
  </si>
  <si>
    <t>** state share includes funds as well as monetary value of the commodities supplied by the State/UT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</si>
  <si>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</si>
  <si>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</si>
  <si>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</si>
  <si>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</si>
  <si>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</si>
  <si>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</si>
  <si>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</si>
  <si>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</si>
  <si>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</si>
  <si>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</si>
  <si>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</si>
  <si>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</si>
  <si>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</si>
  <si>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</si>
  <si>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</si>
  <si>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</si>
  <si>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</si>
  <si>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</si>
  <si>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</si>
  <si>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</si>
  <si>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</si>
  <si>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</si>
  <si>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</si>
  <si>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</si>
  <si>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</si>
  <si>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</si>
  <si>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</si>
  <si>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</si>
  <si>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</si>
  <si>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</si>
  <si>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</si>
  <si>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</si>
  <si>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</si>
  <si>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</si>
  <si>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</si>
  <si>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</si>
  <si>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</si>
  <si>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</si>
  <si>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</si>
  <si>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</si>
  <si>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</si>
  <si>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</si>
  <si>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</si>
  <si>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</si>
  <si>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</si>
  <si>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</si>
  <si>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</si>
  <si>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</si>
  <si>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</si>
  <si>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</si>
  <si>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</si>
  <si>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</si>
  <si>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</si>
  <si>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</si>
  <si>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</si>
  <si>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</si>
  <si>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</si>
  <si>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</si>
  <si>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</si>
  <si>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</si>
  <si>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</si>
  <si>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</si>
  <si>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</si>
  <si>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</si>
  <si>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>Cnetre Share</t>
  </si>
  <si>
    <t>Tax Charged on Food Grain by Concerned Department</t>
  </si>
  <si>
    <t>Rate ( in %)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</si>
  <si>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</si>
  <si>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</si>
  <si>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</si>
  <si>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</si>
  <si>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</si>
  <si>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</si>
  <si>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</si>
  <si>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</si>
  <si>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</si>
  <si>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</si>
  <si>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</si>
  <si>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Coarse Grains</t>
  </si>
  <si>
    <t>*Coarse Grains</t>
  </si>
  <si>
    <t xml:space="preserve">***Requirement of Transport Assistance                           (Rs. in lakh)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</si>
  <si>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</si>
  <si>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</si>
  <si>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</si>
  <si>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</si>
  <si>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</si>
  <si>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</si>
  <si>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</si>
  <si>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</si>
  <si>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</si>
  <si>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</si>
  <si>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</si>
  <si>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</si>
  <si>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</si>
  <si>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</si>
  <si>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Name of Tax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</si>
  <si>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</si>
  <si>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</si>
  <si>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</si>
  <si>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</si>
  <si>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</si>
  <si>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</si>
  <si>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</si>
  <si>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</si>
  <si>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</si>
  <si>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</si>
  <si>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</si>
  <si>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</si>
  <si>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</si>
  <si>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</si>
  <si>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</si>
  <si>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</si>
  <si>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</si>
  <si>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</si>
  <si>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</si>
  <si>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</si>
  <si>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</si>
  <si>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</si>
  <si>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</si>
  <si>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</si>
  <si>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</si>
  <si>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</si>
  <si>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</si>
  <si>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</si>
  <si>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</si>
  <si>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</si>
  <si>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</si>
  <si>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</si>
  <si>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</si>
  <si>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</si>
  <si>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</si>
  <si>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>Contents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</si>
  <si>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</si>
  <si>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</si>
  <si>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</si>
  <si>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</si>
  <si>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</si>
  <si>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</si>
  <si>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</si>
  <si>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</si>
  <si>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</si>
  <si>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</si>
  <si>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</si>
  <si>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</si>
  <si>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</si>
  <si>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</si>
  <si>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</si>
  <si>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</si>
  <si>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</si>
  <si>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</si>
  <si>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</si>
  <si>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</si>
  <si>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>Table No.</t>
  </si>
  <si>
    <t>Particulars</t>
  </si>
  <si>
    <t>AT- 1</t>
  </si>
  <si>
    <t>AT - 2</t>
  </si>
  <si>
    <t>AT - 3</t>
  </si>
  <si>
    <t>AT - 4</t>
  </si>
  <si>
    <t>AT - 5</t>
  </si>
  <si>
    <t>AT - 6</t>
  </si>
  <si>
    <t>AT - 7</t>
  </si>
  <si>
    <t>AT - 8</t>
  </si>
  <si>
    <t>AT - 9</t>
  </si>
  <si>
    <t>AT - 10</t>
  </si>
  <si>
    <t>AT - 11</t>
  </si>
  <si>
    <t>AT - 12</t>
  </si>
  <si>
    <t>AT - 13</t>
  </si>
  <si>
    <t>AT - 14</t>
  </si>
  <si>
    <t>AT - 15</t>
  </si>
  <si>
    <t>AT - 16</t>
  </si>
  <si>
    <t>AT - 17</t>
  </si>
  <si>
    <t>AT - 18</t>
  </si>
  <si>
    <t>AT - 19</t>
  </si>
  <si>
    <t>AT - 20</t>
  </si>
  <si>
    <t>AT - 21</t>
  </si>
  <si>
    <t>AT - 22</t>
  </si>
  <si>
    <t>AT - 23</t>
  </si>
  <si>
    <t>AT - 24</t>
  </si>
  <si>
    <t>AT - 25</t>
  </si>
  <si>
    <t>AT - 26</t>
  </si>
  <si>
    <t>AT - 27</t>
  </si>
  <si>
    <t>AT - 28</t>
  </si>
  <si>
    <t>AT - 29</t>
  </si>
  <si>
    <t>AT - 30</t>
  </si>
  <si>
    <t>AT - 31</t>
  </si>
  <si>
    <t>AT- 3 A</t>
  </si>
  <si>
    <t>AT- 3 B</t>
  </si>
  <si>
    <t>AT-3 C</t>
  </si>
  <si>
    <t>AT - 4 A</t>
  </si>
  <si>
    <t>AT - 5 A</t>
  </si>
  <si>
    <t>AT - 5 B</t>
  </si>
  <si>
    <t>AT - 5 C</t>
  </si>
  <si>
    <t>AT - 6 A</t>
  </si>
  <si>
    <t>AT - 6 B</t>
  </si>
  <si>
    <t>Enrolment vis-a-vis availed for MDM  (Upper Primary, Classes VI - VIII)</t>
  </si>
  <si>
    <t>AT - 5 D</t>
  </si>
  <si>
    <t>AT - 6 C</t>
  </si>
  <si>
    <t>AT - 7 A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</si>
  <si>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</si>
  <si>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</si>
  <si>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</si>
  <si>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 xml:space="preserve">Sanction and Utilisation of Central assistance towards construction of Kitchen-cum-store (Primary &amp; Upper Primary,Classes I-VIII) </t>
  </si>
  <si>
    <t>AT - 11 A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</si>
  <si>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</si>
  <si>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</si>
  <si>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</si>
  <si>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- 14 A</t>
  </si>
  <si>
    <t>Formation of School Management Committee (SMC) at School Level for Monitoring the Scheme</t>
  </si>
  <si>
    <t>Responsibility of Implementation</t>
  </si>
  <si>
    <t xml:space="preserve">Information on Cooking Agencies </t>
  </si>
  <si>
    <t>Manpower dedicated for MDMS</t>
  </si>
  <si>
    <t>Details of mode of cooking</t>
  </si>
  <si>
    <t>Details of discrimination of any kind in MDMS</t>
  </si>
  <si>
    <t>Details of engagement and apportionment of honorarium to cook cum helpers (CCH) between schools and centralized kitchen.</t>
  </si>
  <si>
    <t>Information on NGOs covering more than 20000 children, if any</t>
  </si>
  <si>
    <t>Details of Grievance Redressal cell</t>
  </si>
  <si>
    <t>Details of IEC Activities</t>
  </si>
  <si>
    <t>Quality, Safety and Hygiene</t>
  </si>
  <si>
    <t>Testing of Food Samples</t>
  </si>
  <si>
    <t>Contribution by community in form of  Tithi Bhojan or any other similar practice</t>
  </si>
  <si>
    <t>Interuptions in serving of MDM and MDM allowance paid to children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</si>
  <si>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</si>
  <si>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</si>
  <si>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</si>
  <si>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</si>
  <si>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</si>
  <si>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AT - 10 A</t>
  </si>
  <si>
    <t>TOTAL</t>
  </si>
  <si>
    <t xml:space="preserve">  </t>
  </si>
  <si>
    <t>p</t>
  </si>
  <si>
    <t>Secretary of the nodal department</t>
  </si>
  <si>
    <t>Seal</t>
  </si>
  <si>
    <t xml:space="preserve">                                                        [Mid-Day Meal Scheme]</t>
  </si>
  <si>
    <t>NA</t>
  </si>
  <si>
    <t>East</t>
  </si>
  <si>
    <t>West</t>
  </si>
  <si>
    <t>North</t>
  </si>
  <si>
    <t>South</t>
  </si>
  <si>
    <t>Monastic</t>
  </si>
  <si>
    <t>Sanskrit</t>
  </si>
  <si>
    <t xml:space="preserve">(Govt Schools </t>
  </si>
  <si>
    <t>(Govt schools)</t>
  </si>
  <si>
    <t>Not Applicable</t>
  </si>
  <si>
    <t>NOT APPLICABLE</t>
  </si>
  <si>
    <t xml:space="preserve">(Govt)Schools </t>
  </si>
  <si>
    <t>State / UT: SIKKIM</t>
  </si>
  <si>
    <t>State / UT:  SIKKIM</t>
  </si>
  <si>
    <t>SIKKIM</t>
  </si>
  <si>
    <t>EAST</t>
  </si>
  <si>
    <t>WEST</t>
  </si>
  <si>
    <t>NORTH</t>
  </si>
  <si>
    <t>SOUTH</t>
  </si>
  <si>
    <t>State/UT : SIKKIM</t>
  </si>
  <si>
    <t>State / UT:   SIKKIM</t>
  </si>
  <si>
    <t xml:space="preserve">Testing of food sample by accredited labs are not available in the state, </t>
  </si>
  <si>
    <t>State: SIKKIM</t>
  </si>
  <si>
    <t>STATE/UT : SIKKIM</t>
  </si>
  <si>
    <t>STATE/UT:  SIKKIM</t>
  </si>
  <si>
    <r>
      <t xml:space="preserve">State/UT: </t>
    </r>
    <r>
      <rPr>
        <b/>
        <u val="single"/>
        <sz val="10"/>
        <rFont val="Arial"/>
        <family val="2"/>
      </rPr>
      <t xml:space="preserve">  SIKKIM</t>
    </r>
  </si>
  <si>
    <t>e. transfer</t>
  </si>
  <si>
    <t>Director</t>
  </si>
  <si>
    <t>Joint Director</t>
  </si>
  <si>
    <t>Dy. Director</t>
  </si>
  <si>
    <t>Asst. Director</t>
  </si>
  <si>
    <t>HA/Accountant</t>
  </si>
  <si>
    <t>Data Entry Operator</t>
  </si>
  <si>
    <t>MIS Coordinator</t>
  </si>
  <si>
    <t>Yes</t>
  </si>
  <si>
    <t>No</t>
  </si>
  <si>
    <t>IEC</t>
  </si>
  <si>
    <t>Information Education Communication</t>
  </si>
  <si>
    <t>No any such cases reported so far</t>
  </si>
  <si>
    <t>Not Require</t>
  </si>
  <si>
    <t>Vegetables</t>
  </si>
  <si>
    <t>Oil &amp; fats</t>
  </si>
  <si>
    <t>Mon</t>
  </si>
  <si>
    <t>Sans</t>
  </si>
  <si>
    <t xml:space="preserve">State / UT: </t>
  </si>
  <si>
    <t>Table: AT- 14</t>
  </si>
  <si>
    <t>Table AT -14 : Quality, Safety and Hygiene</t>
  </si>
  <si>
    <t xml:space="preserve">Table: AT-20 </t>
  </si>
  <si>
    <t xml:space="preserve">Table: AT-20 : Information on Cooking Agencies </t>
  </si>
  <si>
    <t>Table AT -22 :Information on NGOs covering more than 20000 children, if any</t>
  </si>
  <si>
    <t>Table-AT- 23 A</t>
  </si>
  <si>
    <t>No. of Inst. For which daily data transferred to central server</t>
  </si>
  <si>
    <t>Table - AT - 24</t>
  </si>
  <si>
    <t>Table AT - 24 : Details of discrimination of any kind in MDMS</t>
  </si>
  <si>
    <t>State/UT :</t>
  </si>
  <si>
    <t>col. 10 x Rs.  3000.00 + VAT/Other taxes</t>
  </si>
  <si>
    <t>col. 11x Rs. 2000.00 + VAT/Other taxes</t>
  </si>
  <si>
    <t xml:space="preserve">(col.7 x col.8 x Rs. 3.72 for NER States and 3 hilly States), (col.7 x col. 8 x Rs. 4.13 for UTs) and (col. 7 x col. 8 x Rs. 2.48 for other States) </t>
  </si>
  <si>
    <t xml:space="preserve">(col.7 x col.8 x Rs. 5.56 for NER States and 3 hilly States), (col.7 x col. 8 x Rs. 6.18 for UTs) and (col. 7 x col. 8 x Rs. 3.71 for other States) </t>
  </si>
  <si>
    <t>AT - 2 A</t>
  </si>
  <si>
    <t>AT - 10 B</t>
  </si>
  <si>
    <t xml:space="preserve">Details of Social Audit </t>
  </si>
  <si>
    <t>AT - 10 C</t>
  </si>
  <si>
    <t>AT - 10 D</t>
  </si>
  <si>
    <t>AT - 23 A</t>
  </si>
  <si>
    <t>Number of School Working Days (Primary,Classes I-V) for 2017-18</t>
  </si>
  <si>
    <t>AT - 26 A</t>
  </si>
  <si>
    <t>AT - 27 A</t>
  </si>
  <si>
    <t>AT - 27 B</t>
  </si>
  <si>
    <t>AT - 27 C</t>
  </si>
  <si>
    <t>AT - 27 D</t>
  </si>
  <si>
    <t>AT - 28 A</t>
  </si>
  <si>
    <t>Table: AT-2 A</t>
  </si>
  <si>
    <t>Table - AT - 10 B</t>
  </si>
  <si>
    <t>Table AT -10 C :Details of IEC Activities</t>
  </si>
  <si>
    <t>Table: AT- 10 C</t>
  </si>
  <si>
    <t>Table: AT 10 D - Manpower dedicated for MDMS</t>
  </si>
  <si>
    <t>Table-AT- 10 D</t>
  </si>
  <si>
    <t>Signature</t>
  </si>
  <si>
    <t>Secretary of the Nodal Deptt</t>
  </si>
  <si>
    <t xml:space="preserve">Govt./UT Administratin of </t>
  </si>
  <si>
    <t>Table AT-13</t>
  </si>
  <si>
    <t>Table AT- 13 Details of mode of cooking</t>
  </si>
  <si>
    <t>Table AT -14 A : Testing of Food Samples by accredited labs</t>
  </si>
  <si>
    <t>Table: AT- 14 A</t>
  </si>
  <si>
    <t>Table: AT- 15</t>
  </si>
  <si>
    <t>Table AT -15 : Contribution by community in form of  Tithi Bhojan or any other similar practice</t>
  </si>
  <si>
    <t>Table: AT- 16</t>
  </si>
  <si>
    <t>Table AT -16 : Interuptions in serving of MDM and MDM allowance paid to children</t>
  </si>
  <si>
    <t>Table - AT - 21</t>
  </si>
  <si>
    <t>Table AT 21 :Details of engagement and appointment of honorarium to cook cum helpers (CCH) between schools and centralized kitchen.</t>
  </si>
  <si>
    <t>Table-AT- 23</t>
  </si>
  <si>
    <t>Table: AT- 25</t>
  </si>
  <si>
    <t>Table AT- 25 Details of Grievance Redressal cell</t>
  </si>
  <si>
    <t>Table: AT-26</t>
  </si>
  <si>
    <t>Table: AT-26 A</t>
  </si>
  <si>
    <t>Table: AT-27</t>
  </si>
  <si>
    <t>Table: AT-27 A</t>
  </si>
  <si>
    <t>Table: AT-27 B</t>
  </si>
  <si>
    <t>Table: AT-27 D</t>
  </si>
  <si>
    <t>Table: AT-28</t>
  </si>
  <si>
    <t xml:space="preserve">Table: AT-28 A </t>
  </si>
  <si>
    <t>Table: AT-29</t>
  </si>
  <si>
    <t>Table: AT-30</t>
  </si>
  <si>
    <t>Table: AT-31</t>
  </si>
  <si>
    <t>No. of school having parents roaster</t>
  </si>
  <si>
    <t>No.of schools having tasting register</t>
  </si>
  <si>
    <t>NOT RECEIVED ANY KIND OF COMPLAINTS SO FAR</t>
  </si>
  <si>
    <t>State / UT: Sikkim</t>
  </si>
  <si>
    <t>Allocation for  2017-18</t>
  </si>
  <si>
    <t>Opening Balance as on 01.04.17</t>
  </si>
  <si>
    <t>*Total sanctioned during 2006-07  to 2017-18</t>
  </si>
  <si>
    <t>Kitchen-cum-store sanctioned during 2006-07 to 2017-18</t>
  </si>
  <si>
    <t>2018-19</t>
  </si>
  <si>
    <t>.</t>
  </si>
  <si>
    <t>Engaged in 2017-18</t>
  </si>
  <si>
    <t>Gross Allocation for the  FY 2017-18</t>
  </si>
  <si>
    <t>Opening Balance as on 01.04.18</t>
  </si>
  <si>
    <t>April, 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</si>
  <si>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</si>
  <si>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</si>
  <si>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</si>
  <si>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</si>
  <si>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</si>
  <si>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</si>
  <si>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</si>
  <si>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</si>
  <si>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</si>
  <si>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</si>
  <si>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</si>
  <si>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</si>
  <si>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</si>
  <si>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</si>
  <si>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</si>
  <si>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</si>
  <si>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</si>
  <si>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</si>
  <si>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</si>
  <si>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</si>
  <si>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</si>
  <si>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</si>
  <si>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</si>
  <si>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</si>
  <si>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Pulse 1 Mussorie dal)</t>
  </si>
  <si>
    <t>Pulse 2 (Tur)</t>
  </si>
  <si>
    <t>Pulse 3 (Moong)</t>
  </si>
  <si>
    <t>Pulse 1 (Mussorie dal)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</si>
  <si>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</si>
  <si>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</si>
  <si>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</si>
  <si>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</si>
  <si>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</si>
  <si>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</si>
  <si>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</si>
  <si>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AT - 4 B</t>
  </si>
  <si>
    <t>Information on Aadhaar Enrolment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</si>
  <si>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</si>
  <si>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</si>
  <si>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</si>
  <si>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</si>
  <si>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PAB-MDM Approval vs. PERFORMANCE (Upper Primary, Classes VI to VIII)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</si>
  <si>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</si>
  <si>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</si>
  <si>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</si>
  <si>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</si>
  <si>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</si>
  <si>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</si>
  <si>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</si>
  <si>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</si>
  <si>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</si>
  <si>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 xml:space="preserve">AT - 10 E </t>
  </si>
  <si>
    <t>Information on Kitchen Garden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</si>
  <si>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</si>
  <si>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</si>
  <si>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</si>
  <si>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</si>
  <si>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</si>
  <si>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</si>
  <si>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</si>
  <si>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</si>
  <si>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</si>
  <si>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</si>
  <si>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</si>
  <si>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</si>
  <si>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</si>
  <si>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</si>
  <si>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AT - 32</t>
  </si>
  <si>
    <t>PAB-MDM Approval vs. PERFORMANCE (Primary Classes I to V) during 2017-18 - Drought</t>
  </si>
  <si>
    <t>AT - 32 A</t>
  </si>
  <si>
    <r>
      <t>State / UT:</t>
    </r>
    <r>
      <rPr>
        <u val="single"/>
        <sz val="10"/>
        <rFont val="Arial"/>
        <family val="2"/>
      </rPr>
      <t xml:space="preserve"> SIKKIM</t>
    </r>
  </si>
  <si>
    <t>Budget Released till 31.03.2018</t>
  </si>
  <si>
    <t xml:space="preserve">No. of working days (During 01.04.17 to 31.03.2018)                  </t>
  </si>
  <si>
    <t>Opening Balance as on 01.4.18</t>
  </si>
  <si>
    <t>Unspent balance as on 31.03.2018               [Col: (4+5)-7]</t>
  </si>
  <si>
    <t>Maximum number of institutions for which daily data transferred during the month</t>
  </si>
  <si>
    <t>Table: AT- 10 F</t>
  </si>
  <si>
    <t>AT - 10 F</t>
  </si>
  <si>
    <t>Information on drinking water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</si>
  <si>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</si>
  <si>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r>
      <t xml:space="preserve">Unspent Balance as on 31.03.2018  [Col. 4+ Col.5-Col.6] </t>
    </r>
    <r>
      <rPr>
        <sz val="10"/>
        <rFont val="Arial"/>
        <family val="2"/>
      </rPr>
      <t xml:space="preserve"> </t>
    </r>
  </si>
  <si>
    <t>AEO</t>
  </si>
  <si>
    <t>Requirement of funds for Transportatin Assistance</t>
  </si>
  <si>
    <t>PDS rate Rs. Per Qtl]</t>
  </si>
  <si>
    <t>Total funds required [Rs. In lakh]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</si>
  <si>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</si>
  <si>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</si>
  <si>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</si>
  <si>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</si>
  <si>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</si>
  <si>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</si>
  <si>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Annual Work Plan and Budget 2019-20</t>
  </si>
  <si>
    <t>Table AT-10 F: Information on Training of Cook-cum-Helpers</t>
  </si>
  <si>
    <t>During 01.04.18 to 31.03.2019</t>
  </si>
  <si>
    <t>Table: AT-28 B: Repair of kitchen cum stores constructed ten years ago</t>
  </si>
  <si>
    <t>No. of Kitchens constructed prior to FY 2008-09</t>
  </si>
  <si>
    <t>No. of Kitchens constructed prior to 2008-09 and require repairs</t>
  </si>
  <si>
    <t>Requirement of funds (Rs in lakh)</t>
  </si>
  <si>
    <t>Centre share</t>
  </si>
  <si>
    <t>State share</t>
  </si>
  <si>
    <t xml:space="preserve">                                                                   [Mid-Day Meal Scheme]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</si>
  <si>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</si>
  <si>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</si>
  <si>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</si>
  <si>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</si>
  <si>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</si>
  <si>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</si>
  <si>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</si>
  <si>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 A : Requirement of Kitchen Devices  during 2019-20 in Primary &amp; Upper Primary Schools</t>
  </si>
  <si>
    <t>Table: AT-29A</t>
  </si>
  <si>
    <t>GENERAL INFORMATION for 2019-20</t>
  </si>
  <si>
    <t>Table: AT-2 :  Details of  Provisions  in the State Budget 2018-19</t>
  </si>
  <si>
    <t>Table: AT-2 A : Releasing of Funds from State to Directorate / Authority / District / Block / School level for 2018-19</t>
  </si>
  <si>
    <t>(For the Period 01.04.18 to 31.03.19)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</si>
  <si>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</si>
  <si>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</si>
  <si>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</si>
  <si>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</si>
  <si>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</si>
  <si>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AT-4A: Enrolment vis-a-vis availed for MDM  (Upper Primary, Classes VI - VIII) during 2018-19</t>
  </si>
  <si>
    <t>During 01.04.18  to 31.03.2019</t>
  </si>
  <si>
    <t>Table: AT-5:  PAB-MDM Approval vs. PERFORMANCE (Primary, Classes I - V) during 2018-19</t>
  </si>
  <si>
    <t>Table: AT-5 A:  PAB-MDM Approval vs. PERFORMANCE (Upper Primary, Classes VI to VIII) during 2018-19</t>
  </si>
  <si>
    <r>
      <t xml:space="preserve">Table: AT-5 B:  PAB-MDM Approval vs. PERFORMANCE </t>
    </r>
    <r>
      <rPr>
        <b/>
        <u val="single"/>
        <sz val="12"/>
        <color indexed="10"/>
        <rFont val="Arial"/>
        <family val="2"/>
      </rPr>
      <t>NCLP</t>
    </r>
    <r>
      <rPr>
        <b/>
        <u val="single"/>
        <sz val="12"/>
        <rFont val="Arial"/>
        <family val="2"/>
      </rPr>
      <t xml:space="preserve"> Schools during 2018-19</t>
    </r>
  </si>
  <si>
    <r>
      <t>Table: AT-5 C:  PAB-MDM Approval vs. PERFORMANCE (Primary, Classes I - V) during 2018-19 -</t>
    </r>
    <r>
      <rPr>
        <b/>
        <u val="single"/>
        <sz val="12"/>
        <color indexed="10"/>
        <rFont val="Arial"/>
        <family val="2"/>
      </rPr>
      <t xml:space="preserve"> Drought</t>
    </r>
  </si>
  <si>
    <r>
      <t xml:space="preserve">Table: AT-5 D:  PAB-MDM Approval vs. PERFORMANCE (Upper Primary, Classes VI to VIII) during 2018-19 </t>
    </r>
    <r>
      <rPr>
        <b/>
        <u val="single"/>
        <sz val="12"/>
        <color indexed="10"/>
        <rFont val="Arial"/>
        <family val="2"/>
      </rPr>
      <t>- Drought</t>
    </r>
  </si>
  <si>
    <t>Annual Work Plan and Budget 20189-20</t>
  </si>
  <si>
    <t>Table: AT-6: Utilisation of foodgrains*  (Primary, Classes I-V) during 2018-19</t>
  </si>
  <si>
    <t>(For the Period 01.4.18 to 31.03.2019</t>
  </si>
  <si>
    <t>Table: AT-6A: Utilisation of foodgrains*  (Upper Primary, Classes VI-VIII) during 2018-19</t>
  </si>
  <si>
    <t>(For the Period 01.4.18 to 31.03.2019)</t>
  </si>
  <si>
    <t>Table: AT-6B: PAYMENT OF COST OF FOOD GRAINS TO FCI (Primary and Upper Primary Classes I-VIII) during 2018-19</t>
  </si>
  <si>
    <r>
      <t>Table: AT-6C: Utilisation of foodgrains (</t>
    </r>
    <r>
      <rPr>
        <b/>
        <u val="single"/>
        <sz val="12"/>
        <color indexed="10"/>
        <rFont val="Arial"/>
        <family val="2"/>
      </rPr>
      <t>Coarse Grain)</t>
    </r>
    <r>
      <rPr>
        <b/>
        <u val="single"/>
        <sz val="12"/>
        <rFont val="Arial"/>
        <family val="2"/>
      </rPr>
      <t xml:space="preserve"> during 2018-19</t>
    </r>
  </si>
  <si>
    <t>(For the Period 01.4.18 to 31.3.2019)</t>
  </si>
  <si>
    <t>Table: AT-7: Utilisation of Cooking Cost* (Primary, Classes I-V) during 2018-19</t>
  </si>
  <si>
    <t>Table: AT-7A: Utilisation of Cooking cost* (Upper Primary Classes, VI-VIII) for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</si>
  <si>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</si>
  <si>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</si>
  <si>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(For the Period 01.04.18 to 31.03.2019)</t>
  </si>
  <si>
    <t>Table: AT-10 A : Details of Meetings at district level during 2018-19</t>
  </si>
  <si>
    <t>(For the Period 01.4.18  to 31.03.2019)</t>
  </si>
  <si>
    <t>Table AT - 10 B : Details of Social Audit during 2018-19 .</t>
  </si>
  <si>
    <t>(As on 31st March, 2019)</t>
  </si>
  <si>
    <t>(As on 31st march, 2019)</t>
  </si>
  <si>
    <t>As on 31st march, 2019</t>
  </si>
  <si>
    <t>Table: AT-17 : Coverage under Rashtriya Bal Swasthya Karykram (School Health Programme) - 2018-19</t>
  </si>
  <si>
    <t>Annual Work Plan &amp; Budget 2019-20</t>
  </si>
  <si>
    <t>Table AT - 23  Annual and Monthly data entry status in MDM-MIS during 2018-19</t>
  </si>
  <si>
    <t>Annual Work Plan &amp; Budget 2019-2-</t>
  </si>
  <si>
    <t>Table AT - 23 A- Implementation of Automated Monitoring System  during 2018-19</t>
  </si>
  <si>
    <t>Proposals for 2019-20</t>
  </si>
  <si>
    <t>Table: AT-26 : Number of School Working Days (Primary,Classes I-V) for 2019-20</t>
  </si>
  <si>
    <t>Table: AT-26 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</si>
  <si>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</si>
  <si>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</si>
  <si>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</si>
  <si>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</si>
  <si>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</si>
  <si>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Requirement of kitchen-cum-stores in the Primary and Upper Primary schools for the year 2019-20</t>
  </si>
  <si>
    <t>Table: AT-28 A: Requirement of kitchen cum stores as per Plinth Area Norm in the Primary and Upper Primary schools for the year 2019-20</t>
  </si>
  <si>
    <t>Table: AT 30:    Requirement of Cook cum Helpers for 2019-20</t>
  </si>
  <si>
    <t>Table: AT-31 : Budget Provision for the Year 2019-20</t>
  </si>
  <si>
    <t>Table: AT-27 Proposal for coverage of children and working days  for 2019-20 (Primary Classes, I-V)</t>
  </si>
  <si>
    <t>Table: AT-27 A: Proposal for coverage of children and working days  for 2019-20  (Upper Primary,Classes VI-VIII)</t>
  </si>
  <si>
    <t>MDM-PAB Approval for 2018-19</t>
  </si>
  <si>
    <t>Gross Allocation for the  FY 2018-19</t>
  </si>
  <si>
    <t>Allocation for cost of foodgrains for 2018-19</t>
  </si>
  <si>
    <t>Opening Balance as on 01.04.19</t>
  </si>
  <si>
    <t xml:space="preserve">Allocation for 2018-19                                  </t>
  </si>
  <si>
    <t xml:space="preserve">Opening Balance as on 01.04.2018                            </t>
  </si>
  <si>
    <t>Total Unspent Balance as on 31.03.2019</t>
  </si>
  <si>
    <t>Allocation for 2018-19</t>
  </si>
  <si>
    <t>Opening Balance as on 01.04.2018</t>
  </si>
  <si>
    <t xml:space="preserve">Total Unspent Balance as on 31.03.2019                                                 </t>
  </si>
  <si>
    <t>Allocation for FY 2018-19</t>
  </si>
  <si>
    <t>Opening balance as on 01.04.18</t>
  </si>
  <si>
    <t>10 days</t>
  </si>
  <si>
    <t>IHM</t>
  </si>
  <si>
    <t>Unspent Balance as on 31.03.2019</t>
  </si>
  <si>
    <t>No. of institutions where setting up of kitchen garden is proposed during 2019-20</t>
  </si>
  <si>
    <t>*Total sanction during 2006-07 to 2018-19</t>
  </si>
  <si>
    <t>*Total Sanction during 2006 to 2018-19</t>
  </si>
  <si>
    <t>Mode of data collection (SMS/ IVRS/ Mobile App/ Web Application/ Others): sms, mobile apps &amp; website</t>
  </si>
  <si>
    <t>Name of Agency implementing AMS in State/UT: SIBin.</t>
  </si>
  <si>
    <t>Enrolment (As on 30.09.2018)</t>
  </si>
  <si>
    <t>Table: AT-1: GENERAL INFORMATION for 2018-19</t>
  </si>
  <si>
    <t>2019-20</t>
  </si>
  <si>
    <t>Sept, 18</t>
  </si>
  <si>
    <t>March, 19</t>
  </si>
  <si>
    <t>Oct.18</t>
  </si>
  <si>
    <t>NOT REQUIRE</t>
  </si>
  <si>
    <t>NOT REQUIRE IN THIS FIN. YR</t>
  </si>
  <si>
    <t>TotalEnrolment (As on 30.09.2018)</t>
  </si>
  <si>
    <t>Wrong data</t>
  </si>
  <si>
    <t>Not matching with next table</t>
  </si>
  <si>
    <t>Apr,18</t>
  </si>
  <si>
    <t>Jun,18</t>
  </si>
  <si>
    <t>Jul,18</t>
  </si>
  <si>
    <t>Aug,18</t>
  </si>
  <si>
    <t>Sep,18</t>
  </si>
  <si>
    <t>Oct,18</t>
  </si>
  <si>
    <t>Nov,18</t>
  </si>
  <si>
    <t>Dec,18</t>
  </si>
  <si>
    <t>Jan,19</t>
  </si>
  <si>
    <t>Feb, 19</t>
  </si>
  <si>
    <t>PRY</t>
  </si>
  <si>
    <t>UP-PRY</t>
  </si>
  <si>
    <t>F.GR</t>
  </si>
  <si>
    <t>COOKING</t>
  </si>
  <si>
    <t>HCCH</t>
  </si>
  <si>
    <t>TA</t>
  </si>
  <si>
    <t>TOT</t>
  </si>
  <si>
    <t>GR. TOT</t>
  </si>
  <si>
    <t>PROPOSAL 2019-20 SIKKIM PAB</t>
  </si>
  <si>
    <t>SP</t>
  </si>
  <si>
    <t>requirement of funds (Rs in lakh) @10th</t>
  </si>
  <si>
    <t>requirement of funds (Rs in lakh) 15/*</t>
  </si>
  <si>
    <t>requirement of funds (Rs in lakh) @20/-</t>
  </si>
  <si>
    <t>requirement of funds (Rs in lakh) 25/-</t>
  </si>
  <si>
    <t>Nos. of Schools</t>
  </si>
  <si>
    <r>
      <t xml:space="preserve">Table: AT-29 : Requirement of Kitchen Devices </t>
    </r>
    <r>
      <rPr>
        <b/>
        <u val="single"/>
        <sz val="12"/>
        <color indexed="10"/>
        <rFont val="Arial"/>
        <family val="2"/>
      </rPr>
      <t>(new)</t>
    </r>
    <r>
      <rPr>
        <b/>
        <u val="single"/>
        <sz val="12"/>
        <rFont val="Arial"/>
        <family val="2"/>
      </rPr>
      <t xml:space="preserve"> during 2019-20 in Primary &amp; Upper Primary Schools</t>
    </r>
  </si>
  <si>
    <t>Enrolment range 01-50 [@10TH]</t>
  </si>
  <si>
    <t>Enrolment range 51-150  [@15th]</t>
  </si>
  <si>
    <t>Enrolment range 151-250 [@20th]</t>
  </si>
  <si>
    <t>Enrolment range 251 &amp; Above @25th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</si>
</sst>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09]dd\ mmmm\ yyyy"/>
    <numFmt numFmtId="179" formatCode="[$-409]AM/PM\ hh:mm:ss"/>
    <numFmt numFmtId="180" formatCode="0.0"/>
    <numFmt numFmtId="181" formatCode="&quot;Rs.&quot;\ #,##0.00"/>
    <numFmt numFmtId="182" formatCode="0.0000"/>
    <numFmt numFmtId="183" formatCode="0.000"/>
    <numFmt numFmtId="184" formatCode="0.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Rs.&quot;\ * #,##0.000_ ;_ &quot;Rs.&quot;\ * \-#,##0.000_ ;_ &quot;Rs.&quot;\ * &quot;-&quot;??_ ;_ @_ "/>
    <numFmt numFmtId="191" formatCode="_ &quot;Rs.&quot;\ * #,##0.0000_ ;_ &quot;Rs.&quot;\ * \-#,##0.0000_ ;_ &quot;Rs.&quot;\ * &quot;-&quot;??_ ;_ @_ "/>
    <numFmt numFmtId="192" formatCode="0.0%"/>
  </numFmts>
  <fonts count="119">
    <font>
      <sz val="10"/>
      <name val="Arial"/>
      <family val="0"/>
    </font>
    <font>
      <sz val="11"/>
      <name val="Calibri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4"/>
      <name val="Arial"/>
      <family val="2"/>
    </font>
    <font>
      <b/>
      <sz val="10"/>
      <name val="Calibri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16"/>
      <name val="Arial"/>
      <family val="2"/>
    </font>
    <font>
      <b/>
      <u val="single"/>
      <sz val="12"/>
      <color indexed="10"/>
      <name val="Arial"/>
      <family val="2"/>
    </font>
    <font>
      <sz val="72"/>
      <name val="Arial"/>
      <family val="2"/>
    </font>
    <font>
      <b/>
      <u val="single"/>
      <sz val="16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1"/>
      <name val="Cambria"/>
      <family val="1"/>
    </font>
    <font>
      <b/>
      <i/>
      <sz val="10"/>
      <name val="Cambria"/>
      <family val="1"/>
    </font>
    <font>
      <b/>
      <i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Calibri"/>
      <family val="2"/>
    </font>
    <font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Trebuchet MS"/>
      <family val="2"/>
    </font>
    <font>
      <b/>
      <sz val="10"/>
      <color indexed="10"/>
      <name val="Trebuchet MS"/>
      <family val="2"/>
    </font>
    <font>
      <b/>
      <sz val="10"/>
      <name val="Cambria"/>
      <family val="1"/>
    </font>
    <font>
      <sz val="12"/>
      <name val="Calibri"/>
      <family val="2"/>
    </font>
    <font>
      <i/>
      <u val="single"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i/>
      <sz val="11"/>
      <color indexed="10"/>
      <name val="Calibri"/>
      <family val="2"/>
    </font>
    <font>
      <i/>
      <sz val="10"/>
      <color indexed="10"/>
      <name val="Cambria"/>
      <family val="1"/>
    </font>
    <font>
      <b/>
      <i/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sz val="12"/>
      <color indexed="8"/>
      <name val="Arial"/>
      <family val="2"/>
    </font>
    <font>
      <b/>
      <sz val="54"/>
      <color indexed="8"/>
      <name val="Calibri"/>
      <family val="2"/>
    </font>
    <font>
      <b/>
      <sz val="4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Cambria"/>
      <family val="1"/>
    </font>
    <font>
      <i/>
      <sz val="11"/>
      <color rgb="FFFF0000"/>
      <name val="Calibri"/>
      <family val="2"/>
    </font>
    <font>
      <i/>
      <sz val="10"/>
      <color rgb="FFFF0000"/>
      <name val="Cambria"/>
      <family val="1"/>
    </font>
    <font>
      <b/>
      <i/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rebuchet MS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9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0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6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9" xfId="0" applyFont="1" applyBorder="1" applyAlignment="1">
      <alignment vertical="top" wrapText="1"/>
    </xf>
    <xf numFmtId="0" fontId="27" fillId="0" borderId="10" xfId="0" applyFont="1" applyBorder="1" applyAlignment="1" quotePrefix="1">
      <alignment horizontal="center" vertical="top" wrapText="1"/>
    </xf>
    <xf numFmtId="0" fontId="0" fillId="33" borderId="10" xfId="0" applyFill="1" applyBorder="1" applyAlignment="1">
      <alignment/>
    </xf>
    <xf numFmtId="0" fontId="40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16" fillId="33" borderId="1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vertical="top"/>
    </xf>
    <xf numFmtId="0" fontId="42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 indent="2"/>
    </xf>
    <xf numFmtId="0" fontId="22" fillId="0" borderId="0" xfId="0" applyFont="1" applyAlignment="1">
      <alignment horizontal="left" vertical="center" wrapText="1" indent="2"/>
    </xf>
    <xf numFmtId="0" fontId="22" fillId="0" borderId="0" xfId="0" applyFont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47" fillId="0" borderId="10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8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5" fillId="33" borderId="0" xfId="0" applyFont="1" applyFill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16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25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8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10" xfId="0" applyFont="1" applyBorder="1" applyAlignment="1" quotePrefix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49" fillId="0" borderId="10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" fillId="33" borderId="15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5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 quotePrefix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vertic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center"/>
    </xf>
    <xf numFmtId="1" fontId="47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2" fontId="0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33" borderId="0" xfId="0" applyFont="1" applyFill="1" applyAlignment="1">
      <alignment horizontal="center"/>
    </xf>
    <xf numFmtId="49" fontId="2" fillId="0" borderId="0" xfId="0" applyNumberFormat="1" applyFont="1" applyAlignment="1">
      <alignment horizontal="left" vertical="top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36" fillId="0" borderId="11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6" fillId="33" borderId="19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 quotePrefix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 quotePrefix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181" fontId="0" fillId="33" borderId="10" xfId="0" applyNumberFormat="1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vertical="center"/>
    </xf>
    <xf numFmtId="181" fontId="2" fillId="33" borderId="19" xfId="0" applyNumberFormat="1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47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51" fillId="0" borderId="15" xfId="0" applyFont="1" applyBorder="1" applyAlignment="1">
      <alignment/>
    </xf>
    <xf numFmtId="0" fontId="52" fillId="0" borderId="0" xfId="0" applyFont="1" applyAlignment="1">
      <alignment/>
    </xf>
    <xf numFmtId="0" fontId="26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" fontId="0" fillId="0" borderId="22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0" fillId="33" borderId="13" xfId="0" applyNumberFormat="1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top" wrapText="1"/>
    </xf>
    <xf numFmtId="0" fontId="27" fillId="0" borderId="13" xfId="0" applyFont="1" applyBorder="1" applyAlignment="1" quotePrefix="1">
      <alignment horizontal="center" vertical="top" wrapText="1"/>
    </xf>
    <xf numFmtId="0" fontId="27" fillId="0" borderId="0" xfId="0" applyFont="1" applyAlignment="1" quotePrefix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2" fontId="0" fillId="33" borderId="0" xfId="0" applyNumberFormat="1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2" fillId="33" borderId="0" xfId="0" applyFont="1" applyFill="1" applyAlignment="1">
      <alignment vertical="top" wrapText="1"/>
    </xf>
    <xf numFmtId="0" fontId="14" fillId="33" borderId="10" xfId="0" applyFont="1" applyFill="1" applyBorder="1" applyAlignment="1">
      <alignment horizontal="center" vertical="center"/>
    </xf>
    <xf numFmtId="2" fontId="47" fillId="34" borderId="0" xfId="0" applyNumberFormat="1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 quotePrefix="1">
      <alignment horizontal="center" vertical="center" wrapText="1"/>
    </xf>
    <xf numFmtId="0" fontId="10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2" fontId="12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6" fillId="36" borderId="10" xfId="0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9" fontId="0" fillId="0" borderId="0" xfId="59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9" fontId="0" fillId="33" borderId="0" xfId="59" applyFont="1" applyFill="1" applyAlignment="1">
      <alignment horizontal="center" vertical="center"/>
    </xf>
    <xf numFmtId="0" fontId="110" fillId="0" borderId="19" xfId="0" applyFont="1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/>
    </xf>
    <xf numFmtId="0" fontId="109" fillId="0" borderId="10" xfId="0" applyFont="1" applyBorder="1" applyAlignment="1">
      <alignment vertical="center"/>
    </xf>
    <xf numFmtId="0" fontId="109" fillId="0" borderId="10" xfId="0" applyFont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 wrapText="1"/>
    </xf>
    <xf numFmtId="9" fontId="2" fillId="0" borderId="0" xfId="59" applyFont="1" applyAlignment="1">
      <alignment horizontal="center" vertical="top" wrapText="1"/>
    </xf>
    <xf numFmtId="0" fontId="114" fillId="0" borderId="0" xfId="0" applyFont="1" applyAlignment="1">
      <alignment/>
    </xf>
    <xf numFmtId="0" fontId="109" fillId="33" borderId="0" xfId="0" applyFont="1" applyFill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09" fillId="37" borderId="10" xfId="0" applyFont="1" applyFill="1" applyBorder="1" applyAlignment="1">
      <alignment horizontal="center" vertical="center"/>
    </xf>
    <xf numFmtId="1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1" fontId="2" fillId="16" borderId="19" xfId="0" applyNumberFormat="1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1" fontId="109" fillId="16" borderId="19" xfId="0" applyNumberFormat="1" applyFont="1" applyFill="1" applyBorder="1" applyAlignment="1">
      <alignment horizontal="center" vertical="center"/>
    </xf>
    <xf numFmtId="1" fontId="2" fillId="16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1" fontId="0" fillId="16" borderId="14" xfId="0" applyNumberFormat="1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92" fontId="0" fillId="0" borderId="0" xfId="59" applyNumberFormat="1" applyFont="1" applyAlignment="1">
      <alignment/>
    </xf>
    <xf numFmtId="1" fontId="108" fillId="39" borderId="10" xfId="0" applyNumberFormat="1" applyFont="1" applyFill="1" applyBorder="1" applyAlignment="1">
      <alignment horizontal="center" vertical="center"/>
    </xf>
    <xf numFmtId="0" fontId="108" fillId="39" borderId="10" xfId="0" applyFont="1" applyFill="1" applyBorder="1" applyAlignment="1">
      <alignment horizontal="center" vertical="center"/>
    </xf>
    <xf numFmtId="1" fontId="109" fillId="39" borderId="10" xfId="0" applyNumberFormat="1" applyFont="1" applyFill="1" applyBorder="1" applyAlignment="1">
      <alignment horizontal="center" vertical="center"/>
    </xf>
    <xf numFmtId="0" fontId="109" fillId="39" borderId="10" xfId="0" applyFont="1" applyFill="1" applyBorder="1" applyAlignment="1">
      <alignment horizontal="center" vertical="center"/>
    </xf>
    <xf numFmtId="1" fontId="108" fillId="39" borderId="14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2" fontId="115" fillId="40" borderId="10" xfId="0" applyNumberFormat="1" applyFont="1" applyFill="1" applyBorder="1" applyAlignment="1">
      <alignment horizontal="center" vertical="center"/>
    </xf>
    <xf numFmtId="2" fontId="116" fillId="40" borderId="19" xfId="0" applyNumberFormat="1" applyFont="1" applyFill="1" applyBorder="1" applyAlignment="1">
      <alignment horizontal="center" vertical="center"/>
    </xf>
    <xf numFmtId="2" fontId="0" fillId="40" borderId="10" xfId="0" applyNumberFormat="1" applyFont="1" applyFill="1" applyBorder="1" applyAlignment="1">
      <alignment horizontal="center" vertical="center"/>
    </xf>
    <xf numFmtId="2" fontId="2" fillId="40" borderId="10" xfId="0" applyNumberFormat="1" applyFont="1" applyFill="1" applyBorder="1" applyAlignment="1">
      <alignment horizontal="center" vertical="center"/>
    </xf>
    <xf numFmtId="2" fontId="2" fillId="40" borderId="19" xfId="0" applyNumberFormat="1" applyFont="1" applyFill="1" applyBorder="1" applyAlignment="1">
      <alignment horizontal="center" vertical="center"/>
    </xf>
    <xf numFmtId="0" fontId="117" fillId="33" borderId="19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116" fillId="40" borderId="10" xfId="0" applyFont="1" applyFill="1" applyBorder="1" applyAlignment="1">
      <alignment horizontal="center" vertical="center" wrapText="1"/>
    </xf>
    <xf numFmtId="2" fontId="6" fillId="40" borderId="19" xfId="0" applyNumberFormat="1" applyFont="1" applyFill="1" applyBorder="1" applyAlignment="1">
      <alignment horizontal="center" vertical="center"/>
    </xf>
    <xf numFmtId="2" fontId="6" fillId="40" borderId="10" xfId="0" applyNumberFormat="1" applyFont="1" applyFill="1" applyBorder="1" applyAlignment="1">
      <alignment horizontal="center" vertical="center"/>
    </xf>
    <xf numFmtId="2" fontId="115" fillId="40" borderId="0" xfId="0" applyNumberFormat="1" applyFont="1" applyFill="1" applyBorder="1" applyAlignment="1">
      <alignment horizontal="center" vertical="center"/>
    </xf>
    <xf numFmtId="2" fontId="118" fillId="34" borderId="0" xfId="0" applyNumberFormat="1" applyFont="1" applyFill="1" applyAlignment="1">
      <alignment vertical="center"/>
    </xf>
    <xf numFmtId="0" fontId="6" fillId="40" borderId="0" xfId="0" applyFont="1" applyFill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49" fontId="12" fillId="41" borderId="10" xfId="0" applyNumberFormat="1" applyFont="1" applyFill="1" applyBorder="1" applyAlignment="1">
      <alignment vertical="center" wrapText="1"/>
    </xf>
    <xf numFmtId="0" fontId="1" fillId="41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vertical="center" wrapText="1"/>
    </xf>
    <xf numFmtId="0" fontId="1" fillId="41" borderId="10" xfId="0" applyFont="1" applyFill="1" applyBorder="1" applyAlignment="1">
      <alignment vertical="center"/>
    </xf>
    <xf numFmtId="0" fontId="17" fillId="41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16" fillId="0" borderId="13" xfId="0" applyFont="1" applyBorder="1" applyAlignment="1" quotePrefix="1">
      <alignment horizontal="center" vertical="top" wrapText="1"/>
    </xf>
    <xf numFmtId="0" fontId="16" fillId="0" borderId="17" xfId="0" applyFont="1" applyBorder="1" applyAlignment="1" quotePrefix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6" fillId="0" borderId="10" xfId="0" applyFont="1" applyBorder="1" applyAlignment="1" quotePrefix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/>
    </xf>
    <xf numFmtId="0" fontId="24" fillId="33" borderId="0" xfId="0" applyFont="1" applyFill="1" applyAlignment="1">
      <alignment horizontal="center"/>
    </xf>
    <xf numFmtId="0" fontId="23" fillId="0" borderId="0" xfId="0" applyFont="1" applyAlignment="1">
      <alignment horizontal="center" wrapText="1"/>
    </xf>
    <xf numFmtId="0" fontId="16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0" fillId="33" borderId="0" xfId="0" applyFont="1" applyFill="1" applyAlignment="1">
      <alignment horizontal="left" vertical="top" wrapText="1"/>
    </xf>
    <xf numFmtId="0" fontId="16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1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" fillId="33" borderId="19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2" fillId="33" borderId="17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6" fillId="33" borderId="15" xfId="0" applyFont="1" applyFill="1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 quotePrefix="1">
      <alignment horizontal="center" vertical="center" wrapText="1"/>
    </xf>
    <xf numFmtId="0" fontId="27" fillId="0" borderId="24" xfId="0" applyFont="1" applyBorder="1" applyAlignment="1" quotePrefix="1">
      <alignment horizontal="center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7" fillId="0" borderId="15" xfId="0" applyFont="1" applyBorder="1" applyAlignment="1" quotePrefix="1">
      <alignment horizontal="center" vertical="center" wrapText="1"/>
    </xf>
    <xf numFmtId="0" fontId="27" fillId="0" borderId="25" xfId="0" applyFont="1" applyBorder="1" applyAlignment="1" quotePrefix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2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81" fontId="2" fillId="33" borderId="13" xfId="0" applyNumberFormat="1" applyFont="1" applyFill="1" applyBorder="1" applyAlignment="1">
      <alignment horizontal="center" vertical="center"/>
    </xf>
    <xf numFmtId="181" fontId="2" fillId="33" borderId="17" xfId="0" applyNumberFormat="1" applyFont="1" applyFill="1" applyBorder="1" applyAlignment="1">
      <alignment horizontal="center" vertical="center"/>
    </xf>
    <xf numFmtId="181" fontId="2" fillId="33" borderId="14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 quotePrefix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2" fillId="33" borderId="0" xfId="0" applyFont="1" applyFill="1" applyAlignment="1">
      <alignment horizontal="right" vertical="top" wrapText="1"/>
    </xf>
    <xf numFmtId="0" fontId="2" fillId="33" borderId="14" xfId="0" applyFont="1" applyFill="1" applyBorder="1" applyAlignment="1" quotePrefix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1" fontId="0" fillId="16" borderId="14" xfId="0" applyNumberFormat="1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152400</xdr:rowOff>
    </xdr:from>
    <xdr:ext cx="9258300" cy="4962525"/>
    <xdr:sp>
      <xdr:nvSpPr>
        <xdr:cNvPr id="1" name="Rectangle 803"/>
        <xdr:cNvSpPr>
          <a:spLocks/>
        </xdr:cNvSpPr>
      </xdr:nvSpPr>
      <xdr:spPr>
        <a:xfrm>
          <a:off x="85725" y="476250"/>
          <a:ext cx="9258300" cy="496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Annual Work Plan &amp; Budget
</a:t>
          </a:r>
          <a:r>
            <a:rPr lang="en-US" cap="none" sz="5400" b="1" i="0" u="none" baseline="0">
              <a:solidFill>
                <a:srgbClr val="000000"/>
              </a:solidFill>
            </a:rPr>
            <a:t>2019-20
</a:t>
          </a:r>
          <a:r>
            <a:rPr lang="en-US" cap="none" sz="5400" b="1" i="0" u="none" baseline="0">
              <a:solidFill>
                <a:srgbClr val="000000"/>
              </a:solidFill>
            </a:rPr>
            <a:t>
</a:t>
          </a:r>
          <a:r>
            <a:rPr lang="en-US" cap="none" sz="5400" b="1" i="0" u="none" baseline="0">
              <a:solidFill>
                <a:srgbClr val="000000"/>
              </a:solidFill>
            </a:rPr>
            <a:t>SIKKIM
</a:t>
          </a:r>
          <a:r>
            <a:rPr lang="en-US" cap="none" sz="5400" b="1" i="0" u="none" baseline="0">
              <a:solidFill>
                <a:srgbClr val="000000"/>
              </a:solidFill>
            </a:rPr>
            <a:t>
</a:t>
          </a:r>
          <a:r>
            <a:rPr lang="en-US" cap="none" sz="4400" b="1" i="0" u="none" baseline="0">
              <a:solidFill>
                <a:srgbClr val="000000"/>
              </a:solidFill>
            </a:rPr>
            <a:t>Date of Submission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91" zoomScaleSheetLayoutView="91" zoomScalePageLayoutView="0" workbookViewId="0" topLeftCell="A1">
      <selection activeCell="Q4" sqref="Q4"/>
    </sheetView>
  </sheetViews>
  <sheetFormatPr defaultColWidth="9.140625" defaultRowHeight="12.75"/>
  <cols>
    <col min="14" max="14" width="35.421875" style="0" customWidth="1"/>
    <col min="15" max="15" width="12.421875" style="0" customWidth="1"/>
  </cols>
  <sheetData>
    <row r="5" ht="14.25" customHeight="1"/>
    <row r="12" ht="11.25" customHeight="1"/>
    <row r="24" ht="15.75" customHeight="1"/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90" zoomScaleSheetLayoutView="90" zoomScalePageLayoutView="0" workbookViewId="0" topLeftCell="A5">
      <selection activeCell="H11" sqref="H11:J14"/>
    </sheetView>
  </sheetViews>
  <sheetFormatPr defaultColWidth="9.140625" defaultRowHeight="12.75"/>
  <cols>
    <col min="1" max="1" width="7.140625" style="2" customWidth="1"/>
    <col min="2" max="2" width="9.00390625" style="2" customWidth="1"/>
    <col min="3" max="3" width="10.28125" style="2" customWidth="1"/>
    <col min="4" max="4" width="10.7109375" style="2" customWidth="1"/>
    <col min="5" max="6" width="9.140625" style="2" customWidth="1"/>
    <col min="7" max="7" width="11.7109375" style="2" customWidth="1"/>
    <col min="8" max="8" width="11.00390625" style="2" customWidth="1"/>
    <col min="9" max="9" width="10.28125" style="2" customWidth="1"/>
    <col min="10" max="10" width="9.57421875" style="2" customWidth="1"/>
    <col min="11" max="11" width="11.7109375" style="2" customWidth="1"/>
    <col min="12" max="12" width="10.7109375" style="2" customWidth="1"/>
    <col min="13" max="13" width="10.57421875" style="2" customWidth="1"/>
    <col min="14" max="14" width="10.7109375" style="2" customWidth="1"/>
    <col min="15" max="15" width="10.421875" style="2" customWidth="1"/>
    <col min="16" max="16" width="9.140625" style="2" customWidth="1"/>
    <col min="17" max="17" width="11.00390625" style="2" customWidth="1"/>
    <col min="18" max="16384" width="9.140625" style="2" customWidth="1"/>
  </cols>
  <sheetData>
    <row r="1" spans="15:17" ht="12.75" customHeight="1">
      <c r="O1" s="581" t="s">
        <v>62</v>
      </c>
      <c r="P1" s="581"/>
      <c r="Q1" s="581"/>
    </row>
    <row r="2" spans="1:17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</row>
    <row r="3" spans="1:17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</row>
    <row r="4" ht="11.25" customHeight="1"/>
    <row r="5" spans="1:12" ht="15">
      <c r="A5" s="669" t="s">
        <v>868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</row>
    <row r="6" ht="12">
      <c r="L6" s="2" t="s">
        <v>745</v>
      </c>
    </row>
    <row r="7" spans="1:17" ht="17.25" customHeight="1">
      <c r="A7" s="579" t="s">
        <v>643</v>
      </c>
      <c r="B7" s="579"/>
      <c r="N7" s="653" t="s">
        <v>843</v>
      </c>
      <c r="O7" s="653"/>
      <c r="P7" s="653"/>
      <c r="Q7" s="653"/>
    </row>
    <row r="8" spans="1:17" ht="24" customHeight="1">
      <c r="A8" s="670" t="s">
        <v>2</v>
      </c>
      <c r="B8" s="670" t="s">
        <v>3</v>
      </c>
      <c r="C8" s="554" t="s">
        <v>934</v>
      </c>
      <c r="D8" s="554"/>
      <c r="E8" s="554"/>
      <c r="F8" s="554"/>
      <c r="G8" s="554"/>
      <c r="H8" s="666" t="s">
        <v>376</v>
      </c>
      <c r="I8" s="554"/>
      <c r="J8" s="554"/>
      <c r="K8" s="554"/>
      <c r="L8" s="554"/>
      <c r="M8" s="671" t="s">
        <v>115</v>
      </c>
      <c r="N8" s="672"/>
      <c r="O8" s="672"/>
      <c r="P8" s="672"/>
      <c r="Q8" s="673"/>
    </row>
    <row r="9" spans="1:17" s="13" customFormat="1" ht="60" customHeight="1">
      <c r="A9" s="670"/>
      <c r="B9" s="670"/>
      <c r="C9" s="209" t="s">
        <v>639</v>
      </c>
      <c r="D9" s="209" t="s">
        <v>636</v>
      </c>
      <c r="E9" s="209" t="s">
        <v>637</v>
      </c>
      <c r="F9" s="209" t="s">
        <v>242</v>
      </c>
      <c r="G9" s="209" t="s">
        <v>127</v>
      </c>
      <c r="H9" s="209" t="s">
        <v>639</v>
      </c>
      <c r="I9" s="209" t="s">
        <v>636</v>
      </c>
      <c r="J9" s="209" t="s">
        <v>637</v>
      </c>
      <c r="K9" s="236" t="s">
        <v>242</v>
      </c>
      <c r="L9" s="209" t="s">
        <v>384</v>
      </c>
      <c r="M9" s="209" t="s">
        <v>639</v>
      </c>
      <c r="N9" s="209" t="s">
        <v>636</v>
      </c>
      <c r="O9" s="209" t="s">
        <v>637</v>
      </c>
      <c r="P9" s="236" t="s">
        <v>242</v>
      </c>
      <c r="Q9" s="209" t="s">
        <v>129</v>
      </c>
    </row>
    <row r="10" spans="1:17" s="48" customFormat="1" ht="12.7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  <c r="M10" s="47">
        <v>13</v>
      </c>
      <c r="N10" s="47">
        <v>14</v>
      </c>
      <c r="O10" s="47">
        <v>15</v>
      </c>
      <c r="P10" s="47">
        <v>16</v>
      </c>
      <c r="Q10" s="47">
        <v>17</v>
      </c>
    </row>
    <row r="11" spans="1:18" ht="37.5" customHeight="1">
      <c r="A11" s="100">
        <v>1</v>
      </c>
      <c r="B11" s="106" t="s">
        <v>632</v>
      </c>
      <c r="C11" s="219">
        <v>12132</v>
      </c>
      <c r="D11" s="219">
        <v>1498</v>
      </c>
      <c r="E11" s="219">
        <v>192</v>
      </c>
      <c r="F11" s="219">
        <v>0</v>
      </c>
      <c r="G11" s="219">
        <f>SUM(C11:F11)</f>
        <v>13822</v>
      </c>
      <c r="H11" s="493">
        <f aca="true" t="shared" si="0" ref="H11:J14">M11/224</f>
        <v>10583.357142857143</v>
      </c>
      <c r="I11" s="493">
        <f t="shared" si="0"/>
        <v>901.0535714285714</v>
      </c>
      <c r="J11" s="493">
        <f t="shared" si="0"/>
        <v>120.49553571428571</v>
      </c>
      <c r="K11" s="494">
        <v>0</v>
      </c>
      <c r="L11" s="493">
        <f>SUM(H11:K11)</f>
        <v>11604.90625</v>
      </c>
      <c r="M11" s="413">
        <v>2370672</v>
      </c>
      <c r="N11" s="219">
        <v>201836</v>
      </c>
      <c r="O11" s="219">
        <v>26991</v>
      </c>
      <c r="P11" s="219">
        <v>0</v>
      </c>
      <c r="Q11" s="266">
        <f>SUM(M11:P11)</f>
        <v>2599499</v>
      </c>
      <c r="R11" s="213"/>
    </row>
    <row r="12" spans="1:22" ht="42" customHeight="1">
      <c r="A12" s="100">
        <v>2</v>
      </c>
      <c r="B12" s="106" t="s">
        <v>633</v>
      </c>
      <c r="C12" s="219">
        <v>7758</v>
      </c>
      <c r="D12" s="219">
        <v>363</v>
      </c>
      <c r="E12" s="219">
        <v>22</v>
      </c>
      <c r="F12" s="219">
        <v>0</v>
      </c>
      <c r="G12" s="219">
        <f>SUM(C12:F12)</f>
        <v>8143</v>
      </c>
      <c r="H12" s="493">
        <f t="shared" si="0"/>
        <v>6951.160714285715</v>
      </c>
      <c r="I12" s="493">
        <f t="shared" si="0"/>
        <v>288.75892857142856</v>
      </c>
      <c r="J12" s="493">
        <f t="shared" si="0"/>
        <v>17.875</v>
      </c>
      <c r="K12" s="499">
        <v>0</v>
      </c>
      <c r="L12" s="493">
        <f>SUM(H12:K12)</f>
        <v>7257.794642857143</v>
      </c>
      <c r="M12" s="219">
        <v>1557060</v>
      </c>
      <c r="N12" s="219">
        <v>64682</v>
      </c>
      <c r="O12" s="219">
        <v>4004</v>
      </c>
      <c r="P12" s="219">
        <v>0</v>
      </c>
      <c r="Q12" s="266">
        <f>SUM(M12:P12)</f>
        <v>1625746</v>
      </c>
      <c r="R12" s="213"/>
      <c r="V12" s="2">
        <f>M12+U12</f>
        <v>1557060</v>
      </c>
    </row>
    <row r="13" spans="1:18" ht="31.5" customHeight="1">
      <c r="A13" s="100">
        <v>3</v>
      </c>
      <c r="B13" s="106" t="s">
        <v>634</v>
      </c>
      <c r="C13" s="219">
        <v>2363</v>
      </c>
      <c r="D13" s="219">
        <v>213</v>
      </c>
      <c r="E13" s="219">
        <v>0</v>
      </c>
      <c r="F13" s="219">
        <v>0</v>
      </c>
      <c r="G13" s="219">
        <f>SUM(C13:F13)</f>
        <v>2576</v>
      </c>
      <c r="H13" s="493">
        <f t="shared" si="0"/>
        <v>2243.7723214285716</v>
      </c>
      <c r="I13" s="493">
        <f t="shared" si="0"/>
        <v>198.23660714285714</v>
      </c>
      <c r="J13" s="493">
        <f t="shared" si="0"/>
        <v>0</v>
      </c>
      <c r="K13" s="494">
        <v>0</v>
      </c>
      <c r="L13" s="493">
        <f>SUM(H13:K13)</f>
        <v>2442.008928571429</v>
      </c>
      <c r="M13" s="219">
        <v>502605</v>
      </c>
      <c r="N13" s="219">
        <v>44405</v>
      </c>
      <c r="O13" s="219">
        <v>0</v>
      </c>
      <c r="P13" s="219">
        <v>0</v>
      </c>
      <c r="Q13" s="266">
        <f>SUM(M13:P13)</f>
        <v>547010</v>
      </c>
      <c r="R13" s="213"/>
    </row>
    <row r="14" spans="1:18" ht="34.5" customHeight="1">
      <c r="A14" s="100">
        <v>4</v>
      </c>
      <c r="B14" s="106" t="s">
        <v>635</v>
      </c>
      <c r="C14" s="219">
        <v>8379</v>
      </c>
      <c r="D14" s="219">
        <v>430</v>
      </c>
      <c r="E14" s="219">
        <v>83</v>
      </c>
      <c r="F14" s="219">
        <v>0</v>
      </c>
      <c r="G14" s="219">
        <f>SUM(C14:F14)</f>
        <v>8892</v>
      </c>
      <c r="H14" s="493">
        <f t="shared" si="0"/>
        <v>7765.223214285715</v>
      </c>
      <c r="I14" s="493">
        <f t="shared" si="0"/>
        <v>425.625</v>
      </c>
      <c r="J14" s="493">
        <f t="shared" si="0"/>
        <v>77.8125</v>
      </c>
      <c r="K14" s="494">
        <f>SUM(K11:K13)</f>
        <v>0</v>
      </c>
      <c r="L14" s="493">
        <f>SUM(H14:K14)</f>
        <v>8268.660714285714</v>
      </c>
      <c r="M14" s="219">
        <v>1739410</v>
      </c>
      <c r="N14" s="219">
        <v>95340</v>
      </c>
      <c r="O14" s="219">
        <v>17430</v>
      </c>
      <c r="P14" s="219">
        <v>0</v>
      </c>
      <c r="Q14" s="266">
        <f>SUM(M14:P14)</f>
        <v>1852180</v>
      </c>
      <c r="R14" s="213"/>
    </row>
    <row r="15" spans="1:18" ht="40.5" customHeight="1">
      <c r="A15" s="665" t="s">
        <v>625</v>
      </c>
      <c r="B15" s="666"/>
      <c r="C15" s="204">
        <f>SUM(C11:C14)</f>
        <v>30632</v>
      </c>
      <c r="D15" s="204">
        <f>SUM(D11:D14)</f>
        <v>2504</v>
      </c>
      <c r="E15" s="204">
        <f>SUM(E11:E14)</f>
        <v>297</v>
      </c>
      <c r="F15" s="204">
        <f>SUM(F11:F14)</f>
        <v>0</v>
      </c>
      <c r="G15" s="204">
        <f>SUM(C15:F15)</f>
        <v>33433</v>
      </c>
      <c r="H15" s="498">
        <f>SUM(H11:H14)</f>
        <v>27543.513392857145</v>
      </c>
      <c r="I15" s="498">
        <f>SUM(I11:I14)</f>
        <v>1813.674107142857</v>
      </c>
      <c r="J15" s="498">
        <f>SUM(J11:J14)</f>
        <v>216.18303571428572</v>
      </c>
      <c r="K15" s="500">
        <f>SUM(K14)</f>
        <v>0</v>
      </c>
      <c r="L15" s="495">
        <f>SUM(H15:K15)</f>
        <v>29573.37053571429</v>
      </c>
      <c r="M15" s="204">
        <f>SUM(M11:M14)</f>
        <v>6169747</v>
      </c>
      <c r="N15" s="204">
        <f>SUM(N11:N14)</f>
        <v>406263</v>
      </c>
      <c r="O15" s="204">
        <f>SUM(O11:O14)</f>
        <v>48425</v>
      </c>
      <c r="P15" s="204">
        <v>0</v>
      </c>
      <c r="Q15" s="339">
        <f>SUM(Q11:Q14)</f>
        <v>6624435</v>
      </c>
      <c r="R15" s="213"/>
    </row>
    <row r="16" spans="1:17" ht="22.5" customHeight="1">
      <c r="A16" s="54"/>
      <c r="L16" s="356"/>
      <c r="Q16" s="253"/>
    </row>
    <row r="17" ht="12">
      <c r="A17" s="11" t="s">
        <v>8</v>
      </c>
    </row>
    <row r="18" ht="12">
      <c r="A18" t="s">
        <v>9</v>
      </c>
    </row>
    <row r="19" spans="1:12" ht="12.75">
      <c r="A19" t="s">
        <v>10</v>
      </c>
      <c r="I19" s="3"/>
      <c r="J19" s="3"/>
      <c r="K19" s="3"/>
      <c r="L19" s="3"/>
    </row>
    <row r="20" spans="1:12" ht="12.75">
      <c r="A20" s="2" t="s">
        <v>465</v>
      </c>
      <c r="J20" s="3"/>
      <c r="K20" s="3"/>
      <c r="L20" s="3"/>
    </row>
    <row r="21" spans="3:13" ht="12">
      <c r="C21" s="2" t="s">
        <v>466</v>
      </c>
      <c r="E21"/>
      <c r="F21"/>
      <c r="G21"/>
      <c r="H21"/>
      <c r="I21"/>
      <c r="J21"/>
      <c r="K21"/>
      <c r="L21"/>
      <c r="M21"/>
    </row>
    <row r="22" spans="5:13" ht="12">
      <c r="E22"/>
      <c r="F22"/>
      <c r="G22"/>
      <c r="H22"/>
      <c r="I22"/>
      <c r="J22"/>
      <c r="K22"/>
      <c r="L22"/>
      <c r="M22"/>
    </row>
    <row r="23" spans="5:13" ht="12">
      <c r="E23"/>
      <c r="F23"/>
      <c r="G23"/>
      <c r="H23"/>
      <c r="I23"/>
      <c r="J23"/>
      <c r="K23"/>
      <c r="L23"/>
      <c r="M23"/>
    </row>
    <row r="24" spans="5:13" ht="12">
      <c r="E24"/>
      <c r="F24"/>
      <c r="G24"/>
      <c r="H24"/>
      <c r="I24"/>
      <c r="J24"/>
      <c r="K24"/>
      <c r="L24"/>
      <c r="M24"/>
    </row>
    <row r="25" spans="5:13" ht="16.5" customHeight="1">
      <c r="E25"/>
      <c r="F25"/>
      <c r="G25"/>
      <c r="H25"/>
      <c r="I25"/>
      <c r="J25"/>
      <c r="K25"/>
      <c r="L25"/>
      <c r="M25"/>
    </row>
    <row r="26" spans="5:13" ht="12">
      <c r="E26"/>
      <c r="F26"/>
      <c r="G26"/>
      <c r="H26"/>
      <c r="I26"/>
      <c r="J26"/>
      <c r="K26"/>
      <c r="L26"/>
      <c r="M26"/>
    </row>
    <row r="27" spans="5:13" ht="12">
      <c r="E27"/>
      <c r="F27"/>
      <c r="G27"/>
      <c r="H27"/>
      <c r="I27"/>
      <c r="J27"/>
      <c r="K27"/>
      <c r="L27"/>
      <c r="M27"/>
    </row>
    <row r="28" spans="5:13" ht="12">
      <c r="E28"/>
      <c r="F28"/>
      <c r="G28"/>
      <c r="H28"/>
      <c r="I28"/>
      <c r="J28"/>
      <c r="K28"/>
      <c r="L28"/>
      <c r="M28"/>
    </row>
    <row r="29" spans="5:13" ht="12">
      <c r="E29"/>
      <c r="F29"/>
      <c r="G29"/>
      <c r="H29"/>
      <c r="I29"/>
      <c r="J29"/>
      <c r="K29"/>
      <c r="L29"/>
      <c r="M29"/>
    </row>
    <row r="30" spans="1:17" ht="12.75">
      <c r="A30" s="13" t="s">
        <v>12</v>
      </c>
      <c r="B30" s="13"/>
      <c r="C30" s="13"/>
      <c r="D30" s="13"/>
      <c r="E30" s="13"/>
      <c r="F30" s="13"/>
      <c r="G30" s="13"/>
      <c r="H30" s="2" t="s">
        <v>11</v>
      </c>
      <c r="I30" s="13"/>
      <c r="O30" s="617" t="s">
        <v>13</v>
      </c>
      <c r="P30" s="617"/>
      <c r="Q30" s="668"/>
    </row>
    <row r="31" spans="1:17" ht="12.75">
      <c r="A31" s="617" t="s">
        <v>14</v>
      </c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</row>
    <row r="32" spans="1:17" ht="12.75">
      <c r="A32" s="617" t="s">
        <v>94</v>
      </c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</row>
    <row r="33" spans="1:17" ht="12.75">
      <c r="A33" s="13"/>
      <c r="B33" s="13"/>
      <c r="C33" s="13"/>
      <c r="D33" s="13"/>
      <c r="E33" s="13"/>
      <c r="F33" s="13"/>
      <c r="N33" s="579" t="s">
        <v>86</v>
      </c>
      <c r="O33" s="579"/>
      <c r="P33" s="579"/>
      <c r="Q33" s="579"/>
    </row>
    <row r="34" spans="1:12" ht="12">
      <c r="A34" s="588"/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</row>
    <row r="35" ht="12.75" customHeight="1"/>
    <row r="36" ht="12.75" customHeight="1">
      <c r="R36" s="80"/>
    </row>
  </sheetData>
  <sheetProtection/>
  <mergeCells count="17">
    <mergeCell ref="A2:Q2"/>
    <mergeCell ref="O1:Q1"/>
    <mergeCell ref="A5:L5"/>
    <mergeCell ref="A8:A9"/>
    <mergeCell ref="B8:B9"/>
    <mergeCell ref="C8:G8"/>
    <mergeCell ref="H8:L8"/>
    <mergeCell ref="M8:Q8"/>
    <mergeCell ref="A3:Q3"/>
    <mergeCell ref="N33:Q33"/>
    <mergeCell ref="A7:B7"/>
    <mergeCell ref="O30:Q30"/>
    <mergeCell ref="A31:Q31"/>
    <mergeCell ref="N7:Q7"/>
    <mergeCell ref="A34:L34"/>
    <mergeCell ref="A32:Q32"/>
    <mergeCell ref="A15:B1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SheetLayoutView="100" zoomScalePageLayoutView="0" workbookViewId="0" topLeftCell="B9">
      <selection activeCell="H11" sqref="H11"/>
    </sheetView>
  </sheetViews>
  <sheetFormatPr defaultColWidth="9.140625" defaultRowHeight="12.75"/>
  <cols>
    <col min="1" max="1" width="7.140625" style="2" customWidth="1"/>
    <col min="2" max="2" width="10.7109375" style="2" customWidth="1"/>
    <col min="3" max="3" width="9.57421875" style="2" customWidth="1"/>
    <col min="4" max="4" width="9.28125" style="2" customWidth="1"/>
    <col min="5" max="6" width="9.140625" style="2" customWidth="1"/>
    <col min="7" max="7" width="10.8515625" style="2" customWidth="1"/>
    <col min="8" max="8" width="10.28125" style="2" customWidth="1"/>
    <col min="9" max="9" width="10.8515625" style="2" customWidth="1"/>
    <col min="10" max="10" width="10.28125" style="2" customWidth="1"/>
    <col min="11" max="11" width="11.28125" style="2" customWidth="1"/>
    <col min="12" max="12" width="11.7109375" style="2" customWidth="1"/>
    <col min="13" max="13" width="9.7109375" style="2" customWidth="1"/>
    <col min="14" max="14" width="8.7109375" style="2" customWidth="1"/>
    <col min="15" max="15" width="8.8515625" style="2" customWidth="1"/>
    <col min="16" max="16" width="9.140625" style="2" customWidth="1"/>
    <col min="17" max="17" width="11.00390625" style="2" customWidth="1"/>
    <col min="18" max="18" width="9.140625" style="2" hidden="1" customWidth="1"/>
    <col min="19" max="16384" width="9.140625" style="2" customWidth="1"/>
  </cols>
  <sheetData>
    <row r="1" spans="15:17" ht="12.75" customHeight="1">
      <c r="O1" s="581" t="s">
        <v>63</v>
      </c>
      <c r="P1" s="581"/>
      <c r="Q1" s="581"/>
    </row>
    <row r="2" spans="1:17" ht="1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</row>
    <row r="3" spans="1:17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</row>
    <row r="4" ht="11.25" customHeight="1"/>
    <row r="5" spans="1:12" ht="15">
      <c r="A5" s="669" t="s">
        <v>869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</row>
    <row r="7" spans="1:18" ht="12" customHeight="1">
      <c r="A7" s="579" t="s">
        <v>643</v>
      </c>
      <c r="B7" s="579"/>
      <c r="N7" s="653" t="s">
        <v>870</v>
      </c>
      <c r="O7" s="653"/>
      <c r="P7" s="653"/>
      <c r="Q7" s="653"/>
      <c r="R7" s="653"/>
    </row>
    <row r="8" spans="1:17" s="13" customFormat="1" ht="29.25" customHeight="1">
      <c r="A8" s="553" t="s">
        <v>2</v>
      </c>
      <c r="B8" s="553" t="s">
        <v>3</v>
      </c>
      <c r="C8" s="675" t="s">
        <v>942</v>
      </c>
      <c r="D8" s="675"/>
      <c r="E8" s="675"/>
      <c r="F8" s="586"/>
      <c r="G8" s="586"/>
      <c r="H8" s="675" t="s">
        <v>377</v>
      </c>
      <c r="I8" s="675"/>
      <c r="J8" s="675"/>
      <c r="K8" s="675"/>
      <c r="L8" s="675"/>
      <c r="M8" s="560" t="s">
        <v>115</v>
      </c>
      <c r="N8" s="596"/>
      <c r="O8" s="596"/>
      <c r="P8" s="596"/>
      <c r="Q8" s="561"/>
    </row>
    <row r="9" spans="1:18" s="13" customFormat="1" ht="66" customHeight="1">
      <c r="A9" s="553"/>
      <c r="B9" s="553"/>
      <c r="C9" s="6" t="s">
        <v>639</v>
      </c>
      <c r="D9" s="6" t="s">
        <v>636</v>
      </c>
      <c r="E9" s="6" t="s">
        <v>637</v>
      </c>
      <c r="F9" s="8" t="s">
        <v>242</v>
      </c>
      <c r="G9" s="8" t="s">
        <v>127</v>
      </c>
      <c r="H9" s="6" t="s">
        <v>639</v>
      </c>
      <c r="I9" s="6" t="s">
        <v>636</v>
      </c>
      <c r="J9" s="6" t="s">
        <v>637</v>
      </c>
      <c r="K9" s="6" t="s">
        <v>242</v>
      </c>
      <c r="L9" s="6" t="s">
        <v>128</v>
      </c>
      <c r="M9" s="6" t="s">
        <v>639</v>
      </c>
      <c r="N9" s="6" t="s">
        <v>636</v>
      </c>
      <c r="O9" s="6" t="s">
        <v>637</v>
      </c>
      <c r="P9" s="8" t="s">
        <v>242</v>
      </c>
      <c r="Q9" s="6" t="s">
        <v>129</v>
      </c>
      <c r="R9" s="23"/>
    </row>
    <row r="10" spans="1:17" s="13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8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208">
        <v>14</v>
      </c>
      <c r="O10" s="3">
        <v>15</v>
      </c>
      <c r="P10" s="6">
        <v>16</v>
      </c>
      <c r="Q10" s="6">
        <v>17</v>
      </c>
    </row>
    <row r="11" spans="1:20" ht="24" customHeight="1">
      <c r="A11" s="15">
        <v>1</v>
      </c>
      <c r="B11" s="106" t="s">
        <v>632</v>
      </c>
      <c r="C11" s="219">
        <v>11418</v>
      </c>
      <c r="D11" s="219">
        <v>0</v>
      </c>
      <c r="E11" s="219">
        <v>85</v>
      </c>
      <c r="F11" s="341">
        <v>0</v>
      </c>
      <c r="G11" s="341">
        <f>SUM(C11:F11)</f>
        <v>11503</v>
      </c>
      <c r="H11" s="493">
        <f aca="true" t="shared" si="0" ref="H11:K15">M11/224</f>
        <v>9920.52232142857</v>
      </c>
      <c r="I11" s="493">
        <f t="shared" si="0"/>
        <v>0</v>
      </c>
      <c r="J11" s="493">
        <f t="shared" si="0"/>
        <v>58.575892857142854</v>
      </c>
      <c r="K11" s="493">
        <f t="shared" si="0"/>
        <v>0</v>
      </c>
      <c r="L11" s="493">
        <f>SUM(H11:K11)</f>
        <v>9979.098214285714</v>
      </c>
      <c r="M11" s="414">
        <v>2222197</v>
      </c>
      <c r="N11" s="414">
        <v>0</v>
      </c>
      <c r="O11" s="414">
        <v>13121</v>
      </c>
      <c r="P11" s="219">
        <v>0</v>
      </c>
      <c r="Q11" s="219">
        <f>SUM(M11:P11)</f>
        <v>2235318</v>
      </c>
      <c r="S11" s="213"/>
      <c r="T11" s="271"/>
    </row>
    <row r="12" spans="1:20" ht="27" customHeight="1">
      <c r="A12" s="15">
        <v>2</v>
      </c>
      <c r="B12" s="106" t="s">
        <v>633</v>
      </c>
      <c r="C12" s="219">
        <v>6848</v>
      </c>
      <c r="D12" s="219">
        <v>30</v>
      </c>
      <c r="E12" s="219">
        <v>26</v>
      </c>
      <c r="F12" s="341">
        <v>0</v>
      </c>
      <c r="G12" s="341">
        <f>SUM(C12:F12)</f>
        <v>6904</v>
      </c>
      <c r="H12" s="493">
        <f t="shared" si="0"/>
        <v>6149.700892857143</v>
      </c>
      <c r="I12" s="493">
        <f t="shared" si="0"/>
        <v>47.111607142857146</v>
      </c>
      <c r="J12" s="493">
        <f t="shared" si="0"/>
        <v>21.941964285714285</v>
      </c>
      <c r="K12" s="493">
        <f t="shared" si="0"/>
        <v>0</v>
      </c>
      <c r="L12" s="493">
        <f>SUM(H12:K12)</f>
        <v>6218.754464285715</v>
      </c>
      <c r="M12" s="415">
        <v>1377533</v>
      </c>
      <c r="N12" s="415">
        <v>10553</v>
      </c>
      <c r="O12" s="415">
        <v>4915</v>
      </c>
      <c r="P12" s="415">
        <v>0</v>
      </c>
      <c r="Q12" s="219">
        <f>SUM(M12:P12)</f>
        <v>1393001</v>
      </c>
      <c r="S12" s="213"/>
      <c r="T12" s="271"/>
    </row>
    <row r="13" spans="1:20" ht="24" customHeight="1">
      <c r="A13" s="15">
        <v>3</v>
      </c>
      <c r="B13" s="106" t="s">
        <v>634</v>
      </c>
      <c r="C13" s="219">
        <v>1858</v>
      </c>
      <c r="D13" s="219">
        <v>0</v>
      </c>
      <c r="E13" s="219">
        <v>0</v>
      </c>
      <c r="F13" s="341">
        <v>0</v>
      </c>
      <c r="G13" s="341">
        <f>SUM(C13:F13)</f>
        <v>1858</v>
      </c>
      <c r="H13" s="493">
        <f t="shared" si="0"/>
        <v>1593.3348214285713</v>
      </c>
      <c r="I13" s="493">
        <f t="shared" si="0"/>
        <v>0</v>
      </c>
      <c r="J13" s="493">
        <f t="shared" si="0"/>
        <v>0</v>
      </c>
      <c r="K13" s="493">
        <f t="shared" si="0"/>
        <v>0</v>
      </c>
      <c r="L13" s="493">
        <f>SUM(H13:K13)</f>
        <v>1593.3348214285713</v>
      </c>
      <c r="M13" s="414">
        <v>356907</v>
      </c>
      <c r="N13" s="414">
        <v>0</v>
      </c>
      <c r="O13" s="414">
        <v>0</v>
      </c>
      <c r="P13" s="219">
        <v>0</v>
      </c>
      <c r="Q13" s="219">
        <f>SUM(M13:P13)</f>
        <v>356907</v>
      </c>
      <c r="S13" s="213"/>
      <c r="T13" s="271"/>
    </row>
    <row r="14" spans="1:20" ht="21" customHeight="1">
      <c r="A14" s="15">
        <v>4</v>
      </c>
      <c r="B14" s="106" t="s">
        <v>635</v>
      </c>
      <c r="C14" s="219">
        <v>6993</v>
      </c>
      <c r="D14" s="219">
        <v>0</v>
      </c>
      <c r="E14" s="219">
        <v>0</v>
      </c>
      <c r="F14" s="341">
        <v>0</v>
      </c>
      <c r="G14" s="341">
        <f>SUM(C14:F14)</f>
        <v>6993</v>
      </c>
      <c r="H14" s="493">
        <f t="shared" si="0"/>
        <v>6425.674107142857</v>
      </c>
      <c r="I14" s="493">
        <f t="shared" si="0"/>
        <v>0</v>
      </c>
      <c r="J14" s="493">
        <f t="shared" si="0"/>
        <v>0</v>
      </c>
      <c r="K14" s="493">
        <f t="shared" si="0"/>
        <v>0</v>
      </c>
      <c r="L14" s="493">
        <f>SUM(H14:K14)</f>
        <v>6425.674107142857</v>
      </c>
      <c r="M14" s="414">
        <v>1439351</v>
      </c>
      <c r="N14" s="414">
        <v>0</v>
      </c>
      <c r="O14" s="414">
        <v>0</v>
      </c>
      <c r="P14" s="219">
        <v>0</v>
      </c>
      <c r="Q14" s="219">
        <f>SUM(M14:P14)</f>
        <v>1439351</v>
      </c>
      <c r="S14" s="213"/>
      <c r="T14" s="271"/>
    </row>
    <row r="15" spans="1:20" ht="27" customHeight="1">
      <c r="A15" s="15"/>
      <c r="B15" s="106" t="s">
        <v>19</v>
      </c>
      <c r="C15" s="204">
        <f>SUM(C11:C14)</f>
        <v>27117</v>
      </c>
      <c r="D15" s="204">
        <f>SUM(D11:D14)</f>
        <v>30</v>
      </c>
      <c r="E15" s="204">
        <f>SUM(E11:E14)</f>
        <v>111</v>
      </c>
      <c r="F15" s="383">
        <f>SUM(F11:F14)</f>
        <v>0</v>
      </c>
      <c r="G15" s="383">
        <f>SUM(C15:F15)</f>
        <v>27258</v>
      </c>
      <c r="H15" s="493">
        <f t="shared" si="0"/>
        <v>24089.23214285714</v>
      </c>
      <c r="I15" s="493">
        <f t="shared" si="0"/>
        <v>47.111607142857146</v>
      </c>
      <c r="J15" s="493">
        <f t="shared" si="0"/>
        <v>80.51785714285714</v>
      </c>
      <c r="K15" s="493">
        <f t="shared" si="0"/>
        <v>0</v>
      </c>
      <c r="L15" s="498">
        <f>SUM(L11:L14)</f>
        <v>24216.861607142855</v>
      </c>
      <c r="M15" s="416">
        <f>SUM(M11:M14)</f>
        <v>5395988</v>
      </c>
      <c r="N15" s="416">
        <f>SUM(N11:N14)</f>
        <v>10553</v>
      </c>
      <c r="O15" s="416">
        <f>SUM(O11:O14)</f>
        <v>18036</v>
      </c>
      <c r="P15" s="204">
        <v>0</v>
      </c>
      <c r="Q15" s="204">
        <f>SUM(M15:P15)</f>
        <v>5424577</v>
      </c>
      <c r="S15" s="213"/>
      <c r="T15" s="271"/>
    </row>
    <row r="16" spans="1:12" ht="12" customHeight="1">
      <c r="A16" s="54"/>
      <c r="L16" s="274"/>
    </row>
    <row r="17" spans="1:17" ht="12">
      <c r="A17" s="11" t="s">
        <v>8</v>
      </c>
      <c r="Q17" s="252"/>
    </row>
    <row r="18" spans="1:12" ht="12">
      <c r="A18" t="s">
        <v>9</v>
      </c>
      <c r="L18" s="271"/>
    </row>
    <row r="19" spans="1:12" ht="12.75">
      <c r="A19" t="s">
        <v>10</v>
      </c>
      <c r="I19" s="3"/>
      <c r="J19" s="3"/>
      <c r="K19" s="3"/>
      <c r="L19" s="3"/>
    </row>
    <row r="20" spans="1:12" ht="12.75">
      <c r="A20" s="2" t="s">
        <v>465</v>
      </c>
      <c r="J20" s="3"/>
      <c r="K20" s="3"/>
      <c r="L20" s="3"/>
    </row>
    <row r="21" spans="3:13" ht="12">
      <c r="C21" s="2" t="s">
        <v>467</v>
      </c>
      <c r="E21"/>
      <c r="F21"/>
      <c r="G21"/>
      <c r="H21"/>
      <c r="I21"/>
      <c r="J21"/>
      <c r="K21"/>
      <c r="L21"/>
      <c r="M21"/>
    </row>
    <row r="22" spans="5:13" ht="12">
      <c r="E22"/>
      <c r="F22"/>
      <c r="G22"/>
      <c r="H22"/>
      <c r="I22"/>
      <c r="J22"/>
      <c r="K22"/>
      <c r="L22"/>
      <c r="M22"/>
    </row>
    <row r="23" spans="5:13" ht="12">
      <c r="E23"/>
      <c r="F23"/>
      <c r="G23"/>
      <c r="H23"/>
      <c r="I23"/>
      <c r="J23"/>
      <c r="K23"/>
      <c r="L23"/>
      <c r="M23"/>
    </row>
    <row r="24" spans="5:13" ht="12">
      <c r="E24"/>
      <c r="F24"/>
      <c r="G24"/>
      <c r="H24"/>
      <c r="I24"/>
      <c r="J24"/>
      <c r="K24"/>
      <c r="L24"/>
      <c r="M24"/>
    </row>
    <row r="25" spans="5:13" ht="16.5" customHeight="1">
      <c r="E25"/>
      <c r="F25"/>
      <c r="G25"/>
      <c r="H25"/>
      <c r="I25"/>
      <c r="J25"/>
      <c r="K25"/>
      <c r="L25"/>
      <c r="M25"/>
    </row>
    <row r="26" spans="5:13" ht="12">
      <c r="E26"/>
      <c r="F26"/>
      <c r="G26"/>
      <c r="H26"/>
      <c r="I26"/>
      <c r="J26"/>
      <c r="K26"/>
      <c r="L26"/>
      <c r="M26"/>
    </row>
    <row r="27" spans="5:13" ht="12">
      <c r="E27"/>
      <c r="F27"/>
      <c r="G27"/>
      <c r="H27"/>
      <c r="I27"/>
      <c r="J27"/>
      <c r="K27"/>
      <c r="L27"/>
      <c r="M27"/>
    </row>
    <row r="28" spans="5:13" ht="12">
      <c r="E28"/>
      <c r="F28"/>
      <c r="G28"/>
      <c r="H28"/>
      <c r="I28"/>
      <c r="J28"/>
      <c r="K28"/>
      <c r="L28"/>
      <c r="M28"/>
    </row>
    <row r="29" spans="5:13" ht="12">
      <c r="E29"/>
      <c r="F29"/>
      <c r="G29"/>
      <c r="H29"/>
      <c r="I29"/>
      <c r="J29"/>
      <c r="K29"/>
      <c r="L29"/>
      <c r="M29"/>
    </row>
    <row r="30" spans="5:13" ht="12">
      <c r="E30"/>
      <c r="F30"/>
      <c r="G30"/>
      <c r="H30"/>
      <c r="I30"/>
      <c r="J30"/>
      <c r="K30"/>
      <c r="L30"/>
      <c r="M30"/>
    </row>
    <row r="31" spans="5:13" ht="12">
      <c r="E31"/>
      <c r="F31"/>
      <c r="G31"/>
      <c r="H31"/>
      <c r="I31"/>
      <c r="J31"/>
      <c r="K31"/>
      <c r="L31"/>
      <c r="M31"/>
    </row>
    <row r="33" spans="1:17" ht="12.75">
      <c r="A33" s="13" t="s">
        <v>12</v>
      </c>
      <c r="B33" s="13"/>
      <c r="C33" s="13"/>
      <c r="D33" s="13"/>
      <c r="E33" s="13"/>
      <c r="F33" s="13"/>
      <c r="G33" s="13"/>
      <c r="I33" s="13"/>
      <c r="O33" s="617" t="s">
        <v>13</v>
      </c>
      <c r="P33" s="617"/>
      <c r="Q33" s="668"/>
    </row>
    <row r="34" spans="1:17" ht="12.75">
      <c r="A34" s="617" t="s">
        <v>14</v>
      </c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</row>
    <row r="35" spans="1:17" ht="12.75">
      <c r="A35" s="617" t="s">
        <v>94</v>
      </c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</row>
    <row r="36" spans="1:17" ht="12.75" customHeight="1">
      <c r="A36" s="13"/>
      <c r="B36" s="13"/>
      <c r="C36" s="13"/>
      <c r="D36" s="13"/>
      <c r="E36" s="13"/>
      <c r="F36" s="13"/>
      <c r="N36" s="579" t="s">
        <v>86</v>
      </c>
      <c r="O36" s="579"/>
      <c r="P36" s="579"/>
      <c r="Q36" s="579"/>
    </row>
    <row r="37" spans="1:19" ht="12.75" customHeight="1">
      <c r="A37" s="588"/>
      <c r="B37" s="588"/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R37" s="80"/>
      <c r="S37" s="80"/>
    </row>
  </sheetData>
  <sheetProtection/>
  <mergeCells count="16">
    <mergeCell ref="A2:Q2"/>
    <mergeCell ref="O1:Q1"/>
    <mergeCell ref="A5:L5"/>
    <mergeCell ref="M8:Q8"/>
    <mergeCell ref="A34:Q34"/>
    <mergeCell ref="A8:A9"/>
    <mergeCell ref="B8:B9"/>
    <mergeCell ref="A7:B7"/>
    <mergeCell ref="A3:Q3"/>
    <mergeCell ref="N7:R7"/>
    <mergeCell ref="C8:G8"/>
    <mergeCell ref="N36:Q36"/>
    <mergeCell ref="H8:L8"/>
    <mergeCell ref="O33:Q33"/>
    <mergeCell ref="A37:L37"/>
    <mergeCell ref="A35:Q3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="90" zoomScaleSheetLayoutView="90" zoomScalePageLayoutView="0" workbookViewId="0" topLeftCell="A6">
      <selection activeCell="I12" sqref="I12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3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1" width="10.00390625" style="2" bestFit="1" customWidth="1"/>
    <col min="12" max="16384" width="9.140625" style="2" customWidth="1"/>
  </cols>
  <sheetData>
    <row r="1" spans="5:10" ht="12.75">
      <c r="E1" s="585"/>
      <c r="F1" s="585"/>
      <c r="G1" s="585"/>
      <c r="H1" s="585"/>
      <c r="I1" s="585"/>
      <c r="J1" s="90" t="s">
        <v>64</v>
      </c>
    </row>
    <row r="2" spans="1:10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</row>
    <row r="4" ht="14.25" customHeight="1"/>
    <row r="5" spans="1:10" ht="31.5" customHeight="1">
      <c r="A5" s="669" t="s">
        <v>871</v>
      </c>
      <c r="B5" s="669"/>
      <c r="C5" s="669"/>
      <c r="D5" s="669"/>
      <c r="E5" s="669"/>
      <c r="F5" s="669"/>
      <c r="G5" s="669"/>
      <c r="H5" s="669"/>
      <c r="I5" s="669"/>
      <c r="J5" s="669"/>
    </row>
    <row r="6" spans="1:10" ht="13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0.75" customHeight="1"/>
    <row r="8" spans="1:12" ht="12.75">
      <c r="A8" s="579" t="s">
        <v>643</v>
      </c>
      <c r="B8" s="579"/>
      <c r="C8" s="24"/>
      <c r="H8" s="653" t="s">
        <v>870</v>
      </c>
      <c r="I8" s="653"/>
      <c r="J8" s="653"/>
      <c r="K8" s="52"/>
      <c r="L8" s="52"/>
    </row>
    <row r="9" spans="1:10" ht="23.25" customHeight="1">
      <c r="A9" s="553" t="s">
        <v>2</v>
      </c>
      <c r="B9" s="553" t="s">
        <v>3</v>
      </c>
      <c r="C9" s="574" t="s">
        <v>914</v>
      </c>
      <c r="D9" s="589"/>
      <c r="E9" s="589"/>
      <c r="F9" s="575"/>
      <c r="G9" s="574" t="s">
        <v>108</v>
      </c>
      <c r="H9" s="589"/>
      <c r="I9" s="589"/>
      <c r="J9" s="575"/>
    </row>
    <row r="10" spans="1:10" ht="63" customHeight="1">
      <c r="A10" s="553"/>
      <c r="B10" s="553"/>
      <c r="C10" s="6" t="s">
        <v>206</v>
      </c>
      <c r="D10" s="6" t="s">
        <v>17</v>
      </c>
      <c r="E10" s="8" t="s">
        <v>829</v>
      </c>
      <c r="F10" s="8" t="s">
        <v>223</v>
      </c>
      <c r="G10" s="6" t="s">
        <v>206</v>
      </c>
      <c r="H10" s="20" t="s">
        <v>18</v>
      </c>
      <c r="I10" s="72" t="s">
        <v>116</v>
      </c>
      <c r="J10" s="6" t="s">
        <v>224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8">
        <v>6</v>
      </c>
      <c r="G11" s="6">
        <v>7</v>
      </c>
      <c r="H11" s="20">
        <v>8</v>
      </c>
      <c r="I11" s="170">
        <v>9</v>
      </c>
      <c r="J11" s="170">
        <v>10</v>
      </c>
    </row>
    <row r="12" spans="1:10" ht="27.75" customHeight="1">
      <c r="A12" s="100">
        <v>1</v>
      </c>
      <c r="B12" s="106" t="s">
        <v>632</v>
      </c>
      <c r="C12" s="219">
        <v>139</v>
      </c>
      <c r="D12" s="417">
        <v>12961.2909090909</v>
      </c>
      <c r="E12" s="219">
        <v>224</v>
      </c>
      <c r="F12" s="418">
        <f>D12*E12</f>
        <v>2903329.1636363617</v>
      </c>
      <c r="G12" s="392">
        <v>141</v>
      </c>
      <c r="H12" s="266">
        <v>2599499</v>
      </c>
      <c r="I12" s="974">
        <v>224</v>
      </c>
      <c r="J12" s="975">
        <f>H12/I12</f>
        <v>11604.90625</v>
      </c>
    </row>
    <row r="13" spans="1:10" ht="28.5" customHeight="1">
      <c r="A13" s="100">
        <v>2</v>
      </c>
      <c r="B13" s="106" t="s">
        <v>633</v>
      </c>
      <c r="C13" s="219">
        <v>143</v>
      </c>
      <c r="D13" s="417">
        <v>7539.4</v>
      </c>
      <c r="E13" s="219">
        <v>224</v>
      </c>
      <c r="F13" s="418">
        <f>D13*E13</f>
        <v>1688825.5999999999</v>
      </c>
      <c r="G13" s="392">
        <v>145</v>
      </c>
      <c r="H13" s="266">
        <v>1625746</v>
      </c>
      <c r="I13" s="974">
        <v>224</v>
      </c>
      <c r="J13" s="975">
        <f>H13/I13</f>
        <v>7257.794642857143</v>
      </c>
    </row>
    <row r="14" spans="1:10" ht="26.25" customHeight="1">
      <c r="A14" s="100">
        <v>3</v>
      </c>
      <c r="B14" s="106" t="s">
        <v>634</v>
      </c>
      <c r="C14" s="219">
        <v>61</v>
      </c>
      <c r="D14" s="417">
        <v>2533.00454545455</v>
      </c>
      <c r="E14" s="219">
        <v>224</v>
      </c>
      <c r="F14" s="418">
        <f>D14*E14</f>
        <v>567393.0181818192</v>
      </c>
      <c r="G14" s="392">
        <v>62</v>
      </c>
      <c r="H14" s="266">
        <v>547010</v>
      </c>
      <c r="I14" s="974">
        <v>224</v>
      </c>
      <c r="J14" s="975">
        <f>H14/I14</f>
        <v>2442.0089285714284</v>
      </c>
    </row>
    <row r="15" spans="1:10" ht="23.25" customHeight="1">
      <c r="A15" s="100">
        <v>4</v>
      </c>
      <c r="B15" s="106" t="s">
        <v>635</v>
      </c>
      <c r="C15" s="219">
        <v>148</v>
      </c>
      <c r="D15" s="417">
        <v>8313.84090909091</v>
      </c>
      <c r="E15" s="219">
        <v>224</v>
      </c>
      <c r="F15" s="418">
        <f>D15*E15</f>
        <v>1862300.3636363638</v>
      </c>
      <c r="G15" s="392">
        <v>150</v>
      </c>
      <c r="H15" s="266">
        <v>1852180</v>
      </c>
      <c r="I15" s="974">
        <v>224</v>
      </c>
      <c r="J15" s="975">
        <f>H15/I15</f>
        <v>8268.660714285714</v>
      </c>
    </row>
    <row r="16" spans="1:10" ht="27.75" customHeight="1">
      <c r="A16" s="665" t="s">
        <v>19</v>
      </c>
      <c r="B16" s="666"/>
      <c r="C16" s="204">
        <f>SUM(C12:C15)</f>
        <v>491</v>
      </c>
      <c r="D16" s="419">
        <v>31347.5363636364</v>
      </c>
      <c r="E16" s="219">
        <v>224</v>
      </c>
      <c r="F16" s="418">
        <f>D16*E16</f>
        <v>7021848.145454554</v>
      </c>
      <c r="G16" s="393">
        <v>498</v>
      </c>
      <c r="H16" s="339">
        <v>6624435</v>
      </c>
      <c r="I16" s="974">
        <v>224</v>
      </c>
      <c r="J16" s="975">
        <f>H16/I16</f>
        <v>29573.370535714286</v>
      </c>
    </row>
    <row r="17" spans="1:7" ht="12.75">
      <c r="A17" s="3"/>
      <c r="B17" s="13"/>
      <c r="C17" s="13"/>
      <c r="F17" s="275"/>
      <c r="G17" s="198"/>
    </row>
    <row r="18" spans="1:9" ht="12.75">
      <c r="A18" s="3"/>
      <c r="B18" s="13"/>
      <c r="C18" s="13"/>
      <c r="G18" s="198"/>
      <c r="I18" s="439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3" ht="12.75">
      <c r="A24" s="3"/>
      <c r="B24" s="13"/>
      <c r="C24" s="13"/>
    </row>
    <row r="25" spans="1:3" ht="12.75">
      <c r="A25" s="3"/>
      <c r="B25" s="13"/>
      <c r="C25" s="13"/>
    </row>
    <row r="26" spans="1:3" ht="12.75">
      <c r="A26" s="3"/>
      <c r="B26" s="13"/>
      <c r="C26" s="13"/>
    </row>
    <row r="27" spans="1:10" ht="12.75">
      <c r="A27" s="13" t="s">
        <v>12</v>
      </c>
      <c r="B27" s="13"/>
      <c r="C27" s="13"/>
      <c r="D27" s="13"/>
      <c r="E27" s="13"/>
      <c r="F27" s="13"/>
      <c r="G27" s="13"/>
      <c r="I27" s="602" t="s">
        <v>13</v>
      </c>
      <c r="J27" s="602"/>
    </row>
    <row r="28" spans="1:10" ht="12.75">
      <c r="A28" s="617" t="s">
        <v>14</v>
      </c>
      <c r="B28" s="617"/>
      <c r="C28" s="617"/>
      <c r="D28" s="617"/>
      <c r="E28" s="617"/>
      <c r="F28" s="617"/>
      <c r="G28" s="617"/>
      <c r="H28" s="617"/>
      <c r="I28" s="617"/>
      <c r="J28" s="617"/>
    </row>
    <row r="29" spans="1:10" ht="12.75">
      <c r="A29" s="617" t="s">
        <v>20</v>
      </c>
      <c r="B29" s="617"/>
      <c r="C29" s="617"/>
      <c r="D29" s="617"/>
      <c r="E29" s="617"/>
      <c r="F29" s="617"/>
      <c r="G29" s="617"/>
      <c r="H29" s="617"/>
      <c r="I29" s="617"/>
      <c r="J29" s="617"/>
    </row>
    <row r="30" spans="1:10" ht="12.75">
      <c r="A30" s="13"/>
      <c r="B30" s="13"/>
      <c r="C30" s="13"/>
      <c r="E30" s="13"/>
      <c r="H30" s="579" t="s">
        <v>86</v>
      </c>
      <c r="I30" s="579"/>
      <c r="J30" s="579"/>
    </row>
    <row r="32" ht="15.75" customHeight="1"/>
    <row r="33" ht="12.75" customHeight="1"/>
    <row r="34" spans="1:10" ht="12.75" customHeight="1">
      <c r="A34" s="676"/>
      <c r="B34" s="676"/>
      <c r="C34" s="676"/>
      <c r="D34" s="676"/>
      <c r="E34" s="676"/>
      <c r="F34" s="676"/>
      <c r="G34" s="676"/>
      <c r="H34" s="676"/>
      <c r="I34" s="676"/>
      <c r="J34" s="676"/>
    </row>
    <row r="36" spans="1:10" ht="12">
      <c r="A36" s="676"/>
      <c r="B36" s="676"/>
      <c r="C36" s="676"/>
      <c r="D36" s="676"/>
      <c r="E36" s="676"/>
      <c r="F36" s="676"/>
      <c r="G36" s="676"/>
      <c r="H36" s="676"/>
      <c r="I36" s="676"/>
      <c r="J36" s="676"/>
    </row>
  </sheetData>
  <sheetProtection/>
  <mergeCells count="17"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  <mergeCell ref="A16:B16"/>
    <mergeCell ref="I27:J27"/>
    <mergeCell ref="H30:J30"/>
    <mergeCell ref="A36:J36"/>
    <mergeCell ref="A34:J34"/>
    <mergeCell ref="A28:J28"/>
    <mergeCell ref="A29:J29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0" zoomScaleSheetLayoutView="90" zoomScalePageLayoutView="0" workbookViewId="0" topLeftCell="A6">
      <selection activeCell="I18" sqref="I18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4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1" width="11.57421875" style="2" bestFit="1" customWidth="1"/>
    <col min="12" max="16384" width="9.140625" style="2" customWidth="1"/>
  </cols>
  <sheetData>
    <row r="1" spans="5:10" ht="12.75">
      <c r="E1" s="585"/>
      <c r="F1" s="585"/>
      <c r="G1" s="585"/>
      <c r="H1" s="585"/>
      <c r="I1" s="585"/>
      <c r="J1" s="90" t="s">
        <v>385</v>
      </c>
    </row>
    <row r="2" spans="1:10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</row>
    <row r="4" ht="14.25" customHeight="1"/>
    <row r="5" spans="1:10" ht="31.5" customHeight="1">
      <c r="A5" s="669" t="s">
        <v>872</v>
      </c>
      <c r="B5" s="669"/>
      <c r="C5" s="669"/>
      <c r="D5" s="669"/>
      <c r="E5" s="669"/>
      <c r="F5" s="669"/>
      <c r="G5" s="669"/>
      <c r="H5" s="669"/>
      <c r="I5" s="669"/>
      <c r="J5" s="669"/>
    </row>
    <row r="6" spans="1:10" ht="13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0.75" customHeight="1"/>
    <row r="8" spans="1:10" ht="12.75">
      <c r="A8" s="579" t="s">
        <v>643</v>
      </c>
      <c r="B8" s="579"/>
      <c r="C8" s="24"/>
      <c r="H8" s="653" t="s">
        <v>843</v>
      </c>
      <c r="I8" s="653"/>
      <c r="J8" s="653"/>
    </row>
    <row r="9" spans="1:10" ht="12.75">
      <c r="A9" s="677" t="s">
        <v>2</v>
      </c>
      <c r="B9" s="677" t="s">
        <v>3</v>
      </c>
      <c r="C9" s="678" t="s">
        <v>914</v>
      </c>
      <c r="D9" s="679"/>
      <c r="E9" s="679"/>
      <c r="F9" s="680"/>
      <c r="G9" s="678" t="s">
        <v>108</v>
      </c>
      <c r="H9" s="679"/>
      <c r="I9" s="679"/>
      <c r="J9" s="680"/>
    </row>
    <row r="10" spans="1:10" ht="60" customHeight="1">
      <c r="A10" s="677"/>
      <c r="B10" s="677"/>
      <c r="C10" s="170" t="s">
        <v>206</v>
      </c>
      <c r="D10" s="170" t="s">
        <v>17</v>
      </c>
      <c r="E10" s="171" t="s">
        <v>829</v>
      </c>
      <c r="F10" s="171" t="s">
        <v>223</v>
      </c>
      <c r="G10" s="170" t="s">
        <v>206</v>
      </c>
      <c r="H10" s="261" t="s">
        <v>18</v>
      </c>
      <c r="I10" s="260" t="s">
        <v>116</v>
      </c>
      <c r="J10" s="170" t="s">
        <v>224</v>
      </c>
    </row>
    <row r="11" spans="1:10" ht="12.75">
      <c r="A11" s="170">
        <v>1</v>
      </c>
      <c r="B11" s="170">
        <v>2</v>
      </c>
      <c r="C11" s="170">
        <v>3</v>
      </c>
      <c r="D11" s="170">
        <v>4</v>
      </c>
      <c r="E11" s="170">
        <v>5</v>
      </c>
      <c r="F11" s="171">
        <v>6</v>
      </c>
      <c r="G11" s="170">
        <v>7</v>
      </c>
      <c r="H11" s="261">
        <v>8</v>
      </c>
      <c r="I11" s="170">
        <v>9</v>
      </c>
      <c r="J11" s="170">
        <v>10</v>
      </c>
    </row>
    <row r="12" spans="1:11" ht="28.5" customHeight="1">
      <c r="A12" s="219">
        <v>1</v>
      </c>
      <c r="B12" s="204" t="s">
        <v>632</v>
      </c>
      <c r="C12" s="219">
        <v>133</v>
      </c>
      <c r="D12" s="420">
        <v>10961.9409090909</v>
      </c>
      <c r="E12" s="219">
        <v>224</v>
      </c>
      <c r="F12" s="418">
        <f>D12*E12</f>
        <v>2455474.7636363613</v>
      </c>
      <c r="G12" s="219">
        <v>130</v>
      </c>
      <c r="H12" s="219">
        <v>2235318</v>
      </c>
      <c r="I12" s="501">
        <v>224</v>
      </c>
      <c r="J12" s="502">
        <f>H12/I12</f>
        <v>9979.098214285714</v>
      </c>
      <c r="K12" s="281">
        <v>9847</v>
      </c>
    </row>
    <row r="13" spans="1:11" ht="27.75" customHeight="1">
      <c r="A13" s="219">
        <v>2</v>
      </c>
      <c r="B13" s="204" t="s">
        <v>633</v>
      </c>
      <c r="C13" s="219">
        <v>98</v>
      </c>
      <c r="D13" s="420">
        <v>7083.40909090909</v>
      </c>
      <c r="E13" s="219">
        <v>224</v>
      </c>
      <c r="F13" s="418">
        <f>D13*E13</f>
        <v>1586683.6363636362</v>
      </c>
      <c r="G13" s="219">
        <v>98</v>
      </c>
      <c r="H13" s="219">
        <v>1393001</v>
      </c>
      <c r="I13" s="501">
        <v>224</v>
      </c>
      <c r="J13" s="502">
        <f>H13/I13</f>
        <v>6218.754464285715</v>
      </c>
      <c r="K13" s="2">
        <v>6136</v>
      </c>
    </row>
    <row r="14" spans="1:11" ht="27.75" customHeight="1">
      <c r="A14" s="219">
        <v>3</v>
      </c>
      <c r="B14" s="204" t="s">
        <v>634</v>
      </c>
      <c r="C14" s="219">
        <v>33</v>
      </c>
      <c r="D14" s="420">
        <v>1765.98181818182</v>
      </c>
      <c r="E14" s="219">
        <v>224</v>
      </c>
      <c r="F14" s="418">
        <f>D14*E14</f>
        <v>395579.9272727277</v>
      </c>
      <c r="G14" s="219">
        <v>33</v>
      </c>
      <c r="H14" s="219">
        <v>356907</v>
      </c>
      <c r="I14" s="501">
        <v>224</v>
      </c>
      <c r="J14" s="502">
        <f>H14/I14</f>
        <v>1593.3348214285713</v>
      </c>
      <c r="K14" s="2">
        <v>1572</v>
      </c>
    </row>
    <row r="15" spans="1:11" ht="28.5" customHeight="1">
      <c r="A15" s="219">
        <v>4</v>
      </c>
      <c r="B15" s="204" t="s">
        <v>635</v>
      </c>
      <c r="C15" s="219">
        <v>109</v>
      </c>
      <c r="D15" s="420">
        <v>6864.44545454546</v>
      </c>
      <c r="E15" s="219">
        <v>224</v>
      </c>
      <c r="F15" s="418">
        <f>D15*E15</f>
        <v>1537635.7818181831</v>
      </c>
      <c r="G15" s="219">
        <v>109</v>
      </c>
      <c r="H15" s="219">
        <v>1439351</v>
      </c>
      <c r="I15" s="501">
        <v>224</v>
      </c>
      <c r="J15" s="502">
        <f>H15/I15</f>
        <v>6425.674107142857</v>
      </c>
      <c r="K15" s="2">
        <v>6341</v>
      </c>
    </row>
    <row r="16" spans="1:11" ht="29.25" customHeight="1">
      <c r="A16" s="659" t="s">
        <v>19</v>
      </c>
      <c r="B16" s="660"/>
      <c r="C16" s="204">
        <f>SUM(C12:C15)</f>
        <v>373</v>
      </c>
      <c r="D16" s="421">
        <v>26675.7772727273</v>
      </c>
      <c r="E16" s="219">
        <v>224</v>
      </c>
      <c r="F16" s="385">
        <f>D16*E16</f>
        <v>5975374.109090915</v>
      </c>
      <c r="G16" s="204">
        <v>370</v>
      </c>
      <c r="H16" s="204">
        <v>5424577</v>
      </c>
      <c r="I16" s="974">
        <v>224</v>
      </c>
      <c r="J16" s="502">
        <f>H16/I16</f>
        <v>24216.86160714286</v>
      </c>
      <c r="K16" s="2">
        <v>23896</v>
      </c>
    </row>
    <row r="17" spans="1:3" ht="12.75">
      <c r="A17" s="3"/>
      <c r="B17" s="13"/>
      <c r="C17" s="13"/>
    </row>
    <row r="18" spans="1:9" ht="12.75">
      <c r="A18" s="3"/>
      <c r="B18" s="13"/>
      <c r="C18" s="13"/>
      <c r="I18" s="439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3" ht="12.75">
      <c r="A24" s="3"/>
      <c r="B24" s="13"/>
      <c r="C24" s="13"/>
    </row>
    <row r="25" spans="1:3" ht="12.75">
      <c r="A25" s="3"/>
      <c r="B25" s="13"/>
      <c r="C25" s="13"/>
    </row>
    <row r="26" spans="1:10" ht="12.75">
      <c r="A26" s="13" t="s">
        <v>12</v>
      </c>
      <c r="B26" s="13"/>
      <c r="C26" s="13"/>
      <c r="D26" s="13"/>
      <c r="E26" s="13"/>
      <c r="F26" s="13"/>
      <c r="G26" s="13"/>
      <c r="I26" s="602" t="s">
        <v>13</v>
      </c>
      <c r="J26" s="602"/>
    </row>
    <row r="27" spans="1:10" ht="12.75">
      <c r="A27" s="617" t="s">
        <v>14</v>
      </c>
      <c r="B27" s="617"/>
      <c r="C27" s="617"/>
      <c r="D27" s="617"/>
      <c r="E27" s="617"/>
      <c r="F27" s="617"/>
      <c r="G27" s="617"/>
      <c r="H27" s="617"/>
      <c r="I27" s="617"/>
      <c r="J27" s="617"/>
    </row>
    <row r="28" spans="1:10" ht="12.75">
      <c r="A28" s="617" t="s">
        <v>20</v>
      </c>
      <c r="B28" s="617"/>
      <c r="C28" s="617"/>
      <c r="D28" s="617"/>
      <c r="E28" s="617"/>
      <c r="F28" s="617"/>
      <c r="G28" s="617"/>
      <c r="H28" s="617"/>
      <c r="I28" s="617"/>
      <c r="J28" s="617"/>
    </row>
    <row r="29" spans="1:10" ht="12.75">
      <c r="A29" s="13"/>
      <c r="B29" s="13"/>
      <c r="C29" s="13"/>
      <c r="E29" s="13"/>
      <c r="H29" s="579" t="s">
        <v>86</v>
      </c>
      <c r="I29" s="579"/>
      <c r="J29" s="579"/>
    </row>
    <row r="32" ht="15.75" customHeight="1"/>
    <row r="33" spans="1:10" ht="12.75" customHeight="1">
      <c r="A33" s="676"/>
      <c r="B33" s="676"/>
      <c r="C33" s="676"/>
      <c r="D33" s="676"/>
      <c r="E33" s="676"/>
      <c r="F33" s="676"/>
      <c r="G33" s="676"/>
      <c r="H33" s="676"/>
      <c r="I33" s="676"/>
      <c r="J33" s="676"/>
    </row>
    <row r="34" ht="12.75" customHeight="1"/>
    <row r="35" spans="1:10" ht="12">
      <c r="A35" s="676"/>
      <c r="B35" s="676"/>
      <c r="C35" s="676"/>
      <c r="D35" s="676"/>
      <c r="E35" s="676"/>
      <c r="F35" s="676"/>
      <c r="G35" s="676"/>
      <c r="H35" s="676"/>
      <c r="I35" s="676"/>
      <c r="J35" s="676"/>
    </row>
  </sheetData>
  <sheetProtection/>
  <mergeCells count="17">
    <mergeCell ref="A16:B16"/>
    <mergeCell ref="E1:I1"/>
    <mergeCell ref="A2:J2"/>
    <mergeCell ref="A3:J3"/>
    <mergeCell ref="A5:J5"/>
    <mergeCell ref="A8:B8"/>
    <mergeCell ref="H8:J8"/>
    <mergeCell ref="A28:J28"/>
    <mergeCell ref="H29:J29"/>
    <mergeCell ref="A33:J33"/>
    <mergeCell ref="A35:J35"/>
    <mergeCell ref="A9:A10"/>
    <mergeCell ref="B9:B10"/>
    <mergeCell ref="C9:F9"/>
    <mergeCell ref="G9:J9"/>
    <mergeCell ref="I26:J26"/>
    <mergeCell ref="A27:J2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90" zoomScaleSheetLayoutView="90" zoomScalePageLayoutView="0" workbookViewId="0" topLeftCell="A3">
      <selection activeCell="D13" sqref="D13:I13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3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6384" width="9.140625" style="2" customWidth="1"/>
  </cols>
  <sheetData>
    <row r="1" spans="5:10" ht="12.75">
      <c r="E1" s="585"/>
      <c r="F1" s="585"/>
      <c r="G1" s="585"/>
      <c r="H1" s="585"/>
      <c r="I1" s="585"/>
      <c r="J1" s="90" t="s">
        <v>387</v>
      </c>
    </row>
    <row r="2" spans="1:10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</row>
    <row r="4" ht="14.25" customHeight="1"/>
    <row r="5" spans="1:10" ht="19.5" customHeight="1">
      <c r="A5" s="669" t="s">
        <v>873</v>
      </c>
      <c r="B5" s="669"/>
      <c r="C5" s="669"/>
      <c r="D5" s="669"/>
      <c r="E5" s="669"/>
      <c r="F5" s="669"/>
      <c r="G5" s="669"/>
      <c r="H5" s="669"/>
      <c r="I5" s="669"/>
      <c r="J5" s="669"/>
    </row>
    <row r="6" spans="1:10" ht="13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0.75" customHeight="1"/>
    <row r="8" spans="1:10" ht="12.75">
      <c r="A8" s="579" t="s">
        <v>643</v>
      </c>
      <c r="B8" s="579"/>
      <c r="C8" s="24"/>
      <c r="H8" s="653" t="s">
        <v>843</v>
      </c>
      <c r="I8" s="653"/>
      <c r="J8" s="653"/>
    </row>
    <row r="9" spans="1:15" ht="12.75">
      <c r="A9" s="553" t="s">
        <v>2</v>
      </c>
      <c r="B9" s="553" t="s">
        <v>3</v>
      </c>
      <c r="C9" s="574" t="s">
        <v>914</v>
      </c>
      <c r="D9" s="589"/>
      <c r="E9" s="589"/>
      <c r="F9" s="575"/>
      <c r="G9" s="574" t="s">
        <v>108</v>
      </c>
      <c r="H9" s="589"/>
      <c r="I9" s="589"/>
      <c r="J9" s="575"/>
      <c r="O9" s="16"/>
    </row>
    <row r="10" spans="1:10" ht="77.25" customHeight="1">
      <c r="A10" s="553"/>
      <c r="B10" s="553"/>
      <c r="C10" s="6" t="s">
        <v>206</v>
      </c>
      <c r="D10" s="6" t="s">
        <v>17</v>
      </c>
      <c r="E10" s="8" t="s">
        <v>822</v>
      </c>
      <c r="F10" s="8" t="s">
        <v>223</v>
      </c>
      <c r="G10" s="6" t="s">
        <v>206</v>
      </c>
      <c r="H10" s="20" t="s">
        <v>18</v>
      </c>
      <c r="I10" s="72" t="s">
        <v>116</v>
      </c>
      <c r="J10" s="6" t="s">
        <v>224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8">
        <v>6</v>
      </c>
      <c r="G11" s="6">
        <v>7</v>
      </c>
      <c r="H11" s="20">
        <v>8</v>
      </c>
      <c r="I11" s="6">
        <v>9</v>
      </c>
      <c r="J11" s="6">
        <v>10</v>
      </c>
    </row>
    <row r="12" spans="1:10" ht="26.25" customHeight="1">
      <c r="A12" s="15">
        <v>1</v>
      </c>
      <c r="B12" s="16"/>
      <c r="C12" s="16"/>
      <c r="D12" s="16"/>
      <c r="E12" s="16"/>
      <c r="F12" s="71"/>
      <c r="G12" s="16"/>
      <c r="H12" s="22"/>
      <c r="I12" s="22"/>
      <c r="J12" s="22"/>
    </row>
    <row r="13" spans="1:10" ht="25.5" customHeight="1">
      <c r="A13" s="15">
        <v>2</v>
      </c>
      <c r="B13" s="16"/>
      <c r="C13" s="16"/>
      <c r="D13" s="681" t="s">
        <v>640</v>
      </c>
      <c r="E13" s="682"/>
      <c r="F13" s="682"/>
      <c r="G13" s="682"/>
      <c r="H13" s="682"/>
      <c r="I13" s="683"/>
      <c r="J13" s="22"/>
    </row>
    <row r="14" spans="1:10" ht="27" customHeight="1">
      <c r="A14" s="15">
        <v>3</v>
      </c>
      <c r="B14" s="16"/>
      <c r="C14" s="16"/>
      <c r="D14" s="16"/>
      <c r="E14" s="16" t="s">
        <v>11</v>
      </c>
      <c r="F14" s="21"/>
      <c r="G14" s="16"/>
      <c r="H14" s="22"/>
      <c r="I14" s="22"/>
      <c r="J14" s="22"/>
    </row>
    <row r="15" spans="1:10" ht="27.75" customHeight="1">
      <c r="A15" s="15">
        <v>4</v>
      </c>
      <c r="B15" s="16"/>
      <c r="C15" s="16"/>
      <c r="D15" s="16"/>
      <c r="E15" s="16"/>
      <c r="F15" s="21"/>
      <c r="G15" s="16"/>
      <c r="H15" s="22"/>
      <c r="I15" s="22"/>
      <c r="J15" s="22"/>
    </row>
    <row r="16" spans="1:10" ht="26.25" customHeight="1">
      <c r="A16" s="4" t="s">
        <v>19</v>
      </c>
      <c r="B16" s="23"/>
      <c r="C16" s="23"/>
      <c r="D16" s="16"/>
      <c r="E16" s="16"/>
      <c r="F16" s="21"/>
      <c r="G16" s="16"/>
      <c r="H16" s="22"/>
      <c r="I16" s="22"/>
      <c r="J16" s="22"/>
    </row>
    <row r="17" spans="1:3" ht="12.75">
      <c r="A17" s="3"/>
      <c r="B17" s="13"/>
      <c r="C17" s="13"/>
    </row>
    <row r="18" spans="1:3" ht="12.75">
      <c r="A18" s="3"/>
      <c r="B18" s="13"/>
      <c r="C18" s="13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3" ht="12.75">
      <c r="A24" s="3"/>
      <c r="B24" s="13"/>
      <c r="C24" s="13"/>
    </row>
    <row r="25" spans="1:3" ht="12.75">
      <c r="A25" s="3"/>
      <c r="B25" s="13"/>
      <c r="C25" s="13"/>
    </row>
    <row r="26" spans="1:10" ht="12.75">
      <c r="A26" s="13" t="s">
        <v>12</v>
      </c>
      <c r="B26" s="13"/>
      <c r="C26" s="13"/>
      <c r="D26" s="13"/>
      <c r="E26" s="13"/>
      <c r="F26" s="13"/>
      <c r="G26" s="13"/>
      <c r="I26" s="602" t="s">
        <v>13</v>
      </c>
      <c r="J26" s="602"/>
    </row>
    <row r="27" spans="1:10" ht="12.75">
      <c r="A27" s="617" t="s">
        <v>14</v>
      </c>
      <c r="B27" s="617"/>
      <c r="C27" s="617"/>
      <c r="D27" s="617"/>
      <c r="E27" s="617"/>
      <c r="F27" s="617"/>
      <c r="G27" s="617"/>
      <c r="H27" s="617"/>
      <c r="I27" s="617"/>
      <c r="J27" s="617"/>
    </row>
    <row r="28" spans="1:10" ht="12.75">
      <c r="A28" s="617" t="s">
        <v>20</v>
      </c>
      <c r="B28" s="617"/>
      <c r="C28" s="617"/>
      <c r="D28" s="617"/>
      <c r="E28" s="617"/>
      <c r="F28" s="617"/>
      <c r="G28" s="617"/>
      <c r="H28" s="617"/>
      <c r="I28" s="617"/>
      <c r="J28" s="617"/>
    </row>
    <row r="29" spans="1:10" ht="12.75">
      <c r="A29" s="13"/>
      <c r="B29" s="13"/>
      <c r="C29" s="13"/>
      <c r="E29" s="13"/>
      <c r="H29" s="579" t="s">
        <v>86</v>
      </c>
      <c r="I29" s="579"/>
      <c r="J29" s="579"/>
    </row>
    <row r="32" ht="15.75" customHeight="1"/>
    <row r="33" spans="1:10" ht="12.75" customHeight="1">
      <c r="A33" s="676"/>
      <c r="B33" s="676"/>
      <c r="C33" s="676"/>
      <c r="D33" s="676"/>
      <c r="E33" s="676"/>
      <c r="F33" s="676"/>
      <c r="G33" s="676"/>
      <c r="H33" s="676"/>
      <c r="I33" s="676"/>
      <c r="J33" s="676"/>
    </row>
    <row r="34" ht="12.75" customHeight="1"/>
    <row r="35" spans="1:10" ht="12">
      <c r="A35" s="676"/>
      <c r="B35" s="676"/>
      <c r="C35" s="676"/>
      <c r="D35" s="676"/>
      <c r="E35" s="676"/>
      <c r="F35" s="676"/>
      <c r="G35" s="676"/>
      <c r="H35" s="676"/>
      <c r="I35" s="676"/>
      <c r="J35" s="676"/>
    </row>
  </sheetData>
  <sheetProtection/>
  <mergeCells count="17">
    <mergeCell ref="A28:J28"/>
    <mergeCell ref="H29:J29"/>
    <mergeCell ref="A33:J33"/>
    <mergeCell ref="A35:J35"/>
    <mergeCell ref="A9:A10"/>
    <mergeCell ref="B9:B10"/>
    <mergeCell ref="C9:F9"/>
    <mergeCell ref="G9:J9"/>
    <mergeCell ref="I26:J26"/>
    <mergeCell ref="A27:J27"/>
    <mergeCell ref="D13:I13"/>
    <mergeCell ref="E1:I1"/>
    <mergeCell ref="A2:J2"/>
    <mergeCell ref="A3:J3"/>
    <mergeCell ref="A5:J5"/>
    <mergeCell ref="A8:B8"/>
    <mergeCell ref="H8:J8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90" zoomScaleSheetLayoutView="90" zoomScalePageLayoutView="0" workbookViewId="0" topLeftCell="A1">
      <selection activeCell="D13" sqref="D13:H14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3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6384" width="9.140625" style="2" customWidth="1"/>
  </cols>
  <sheetData>
    <row r="1" spans="5:10" ht="12.75">
      <c r="E1" s="585"/>
      <c r="F1" s="585"/>
      <c r="G1" s="585"/>
      <c r="H1" s="585"/>
      <c r="I1" s="585"/>
      <c r="J1" s="90" t="s">
        <v>386</v>
      </c>
    </row>
    <row r="2" spans="1:10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</row>
    <row r="4" ht="14.25" customHeight="1"/>
    <row r="5" spans="1:10" ht="31.5" customHeight="1">
      <c r="A5" s="669" t="s">
        <v>874</v>
      </c>
      <c r="B5" s="669"/>
      <c r="C5" s="669"/>
      <c r="D5" s="669"/>
      <c r="E5" s="669"/>
      <c r="F5" s="669"/>
      <c r="G5" s="669"/>
      <c r="H5" s="669"/>
      <c r="I5" s="669"/>
      <c r="J5" s="669"/>
    </row>
    <row r="6" spans="1:10" ht="13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0.75" customHeight="1"/>
    <row r="8" spans="1:10" ht="12.75">
      <c r="A8" s="579" t="s">
        <v>643</v>
      </c>
      <c r="B8" s="579"/>
      <c r="C8" s="24"/>
      <c r="H8" s="653" t="s">
        <v>843</v>
      </c>
      <c r="I8" s="653"/>
      <c r="J8" s="653"/>
    </row>
    <row r="9" spans="1:15" ht="12.75">
      <c r="A9" s="553" t="s">
        <v>2</v>
      </c>
      <c r="B9" s="553" t="s">
        <v>3</v>
      </c>
      <c r="C9" s="574" t="s">
        <v>914</v>
      </c>
      <c r="D9" s="589"/>
      <c r="E9" s="589"/>
      <c r="F9" s="575"/>
      <c r="G9" s="574" t="s">
        <v>108</v>
      </c>
      <c r="H9" s="589"/>
      <c r="I9" s="589"/>
      <c r="J9" s="575"/>
      <c r="O9" s="16"/>
    </row>
    <row r="10" spans="1:10" ht="53.25" customHeight="1">
      <c r="A10" s="553"/>
      <c r="B10" s="553"/>
      <c r="C10" s="6" t="s">
        <v>206</v>
      </c>
      <c r="D10" s="6" t="s">
        <v>17</v>
      </c>
      <c r="E10" s="158" t="s">
        <v>388</v>
      </c>
      <c r="F10" s="8" t="s">
        <v>223</v>
      </c>
      <c r="G10" s="6" t="s">
        <v>206</v>
      </c>
      <c r="H10" s="20" t="s">
        <v>18</v>
      </c>
      <c r="I10" s="72" t="s">
        <v>116</v>
      </c>
      <c r="J10" s="6" t="s">
        <v>224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8">
        <v>6</v>
      </c>
      <c r="G11" s="6">
        <v>7</v>
      </c>
      <c r="H11" s="20">
        <v>8</v>
      </c>
      <c r="I11" s="6">
        <v>9</v>
      </c>
      <c r="J11" s="6">
        <v>10</v>
      </c>
    </row>
    <row r="12" spans="1:10" ht="28.5" customHeight="1">
      <c r="A12" s="15">
        <v>1</v>
      </c>
      <c r="B12" s="16"/>
      <c r="C12" s="16"/>
      <c r="D12" s="16"/>
      <c r="E12" s="16"/>
      <c r="F12" s="71"/>
      <c r="G12" s="16"/>
      <c r="H12" s="22"/>
      <c r="I12" s="22"/>
      <c r="J12" s="22"/>
    </row>
    <row r="13" spans="1:10" ht="26.25" customHeight="1">
      <c r="A13" s="15">
        <v>2</v>
      </c>
      <c r="B13" s="16"/>
      <c r="C13" s="16"/>
      <c r="D13" s="684" t="s">
        <v>641</v>
      </c>
      <c r="E13" s="685"/>
      <c r="F13" s="685"/>
      <c r="G13" s="685"/>
      <c r="H13" s="686"/>
      <c r="I13" s="22"/>
      <c r="J13" s="22"/>
    </row>
    <row r="14" spans="1:10" ht="25.5" customHeight="1">
      <c r="A14" s="15">
        <v>3</v>
      </c>
      <c r="B14" s="16"/>
      <c r="C14" s="16"/>
      <c r="D14" s="687"/>
      <c r="E14" s="688"/>
      <c r="F14" s="688"/>
      <c r="G14" s="688"/>
      <c r="H14" s="689"/>
      <c r="I14" s="22"/>
      <c r="J14" s="22"/>
    </row>
    <row r="15" spans="1:10" ht="30" customHeight="1">
      <c r="A15" s="15">
        <v>4</v>
      </c>
      <c r="B15" s="16"/>
      <c r="C15" s="16"/>
      <c r="D15" s="16"/>
      <c r="E15" s="16"/>
      <c r="F15" s="21"/>
      <c r="G15" s="16"/>
      <c r="H15" s="22"/>
      <c r="I15" s="22"/>
      <c r="J15" s="22"/>
    </row>
    <row r="16" spans="1:10" ht="29.25" customHeight="1">
      <c r="A16" s="4" t="s">
        <v>19</v>
      </c>
      <c r="B16" s="23"/>
      <c r="C16" s="23"/>
      <c r="D16" s="16"/>
      <c r="E16" s="16"/>
      <c r="F16" s="21"/>
      <c r="G16" s="16"/>
      <c r="H16" s="22"/>
      <c r="I16" s="22"/>
      <c r="J16" s="22"/>
    </row>
    <row r="17" spans="1:3" ht="12.75">
      <c r="A17" s="3"/>
      <c r="B17" s="13"/>
      <c r="C17" s="13"/>
    </row>
    <row r="18" spans="1:3" ht="12.75">
      <c r="A18" s="3" t="s">
        <v>627</v>
      </c>
      <c r="B18" s="13"/>
      <c r="C18" s="13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3" ht="12.75">
      <c r="A24" s="3"/>
      <c r="B24" s="13"/>
      <c r="C24" s="13"/>
    </row>
    <row r="25" spans="1:3" ht="12.75">
      <c r="A25" s="3"/>
      <c r="B25" s="13"/>
      <c r="C25" s="13"/>
    </row>
    <row r="26" spans="1:10" ht="12.75">
      <c r="A26" s="13" t="s">
        <v>12</v>
      </c>
      <c r="B26" s="13"/>
      <c r="C26" s="13"/>
      <c r="D26" s="13"/>
      <c r="E26" s="13"/>
      <c r="F26" s="13"/>
      <c r="G26" s="13"/>
      <c r="I26" s="602" t="s">
        <v>13</v>
      </c>
      <c r="J26" s="602"/>
    </row>
    <row r="27" spans="1:10" ht="12.75">
      <c r="A27" s="617" t="s">
        <v>14</v>
      </c>
      <c r="B27" s="617"/>
      <c r="C27" s="617"/>
      <c r="D27" s="617"/>
      <c r="E27" s="617"/>
      <c r="F27" s="617"/>
      <c r="G27" s="617"/>
      <c r="H27" s="617"/>
      <c r="I27" s="617"/>
      <c r="J27" s="617"/>
    </row>
    <row r="28" spans="1:10" ht="12.75">
      <c r="A28" s="617" t="s">
        <v>20</v>
      </c>
      <c r="B28" s="617"/>
      <c r="C28" s="617"/>
      <c r="D28" s="617"/>
      <c r="E28" s="617"/>
      <c r="F28" s="617"/>
      <c r="G28" s="617"/>
      <c r="H28" s="617"/>
      <c r="I28" s="617"/>
      <c r="J28" s="617"/>
    </row>
    <row r="29" spans="1:10" ht="12.75">
      <c r="A29" s="13"/>
      <c r="B29" s="13"/>
      <c r="C29" s="13"/>
      <c r="E29" s="13"/>
      <c r="H29" s="579" t="s">
        <v>86</v>
      </c>
      <c r="I29" s="579"/>
      <c r="J29" s="579"/>
    </row>
    <row r="32" ht="15.75" customHeight="1"/>
    <row r="33" spans="1:10" ht="12.75" customHeight="1">
      <c r="A33" s="676"/>
      <c r="B33" s="676"/>
      <c r="C33" s="676"/>
      <c r="D33" s="676"/>
      <c r="E33" s="676"/>
      <c r="F33" s="676"/>
      <c r="G33" s="676"/>
      <c r="H33" s="676"/>
      <c r="I33" s="676"/>
      <c r="J33" s="676"/>
    </row>
    <row r="34" ht="12.75" customHeight="1"/>
    <row r="35" spans="1:10" ht="12">
      <c r="A35" s="676"/>
      <c r="B35" s="676"/>
      <c r="C35" s="676"/>
      <c r="D35" s="676"/>
      <c r="E35" s="676"/>
      <c r="F35" s="676"/>
      <c r="G35" s="676"/>
      <c r="H35" s="676"/>
      <c r="I35" s="676"/>
      <c r="J35" s="676"/>
    </row>
  </sheetData>
  <sheetProtection/>
  <mergeCells count="17">
    <mergeCell ref="D13:H14"/>
    <mergeCell ref="E1:I1"/>
    <mergeCell ref="A2:J2"/>
    <mergeCell ref="A3:J3"/>
    <mergeCell ref="A5:J5"/>
    <mergeCell ref="A8:B8"/>
    <mergeCell ref="H8:J8"/>
    <mergeCell ref="A28:J28"/>
    <mergeCell ref="H29:J29"/>
    <mergeCell ref="A33:J33"/>
    <mergeCell ref="A35:J35"/>
    <mergeCell ref="A9:A10"/>
    <mergeCell ref="B9:B10"/>
    <mergeCell ref="C9:F9"/>
    <mergeCell ref="G9:J9"/>
    <mergeCell ref="I26:J26"/>
    <mergeCell ref="A27:J2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78" zoomScaleSheetLayoutView="78" zoomScalePageLayoutView="0" workbookViewId="0" topLeftCell="A1">
      <selection activeCell="D13" sqref="D13:H14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3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6384" width="9.140625" style="2" customWidth="1"/>
  </cols>
  <sheetData>
    <row r="1" spans="5:10" ht="12.75">
      <c r="E1" s="585"/>
      <c r="F1" s="585"/>
      <c r="G1" s="585"/>
      <c r="H1" s="585"/>
      <c r="I1" s="585"/>
      <c r="J1" s="90" t="s">
        <v>468</v>
      </c>
    </row>
    <row r="2" spans="1:10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</row>
    <row r="4" ht="14.25" customHeight="1"/>
    <row r="5" spans="1:10" ht="31.5" customHeight="1">
      <c r="A5" s="669" t="s">
        <v>875</v>
      </c>
      <c r="B5" s="669"/>
      <c r="C5" s="669"/>
      <c r="D5" s="669"/>
      <c r="E5" s="669"/>
      <c r="F5" s="669"/>
      <c r="G5" s="669"/>
      <c r="H5" s="669"/>
      <c r="I5" s="669"/>
      <c r="J5" s="669"/>
    </row>
    <row r="6" spans="1:10" ht="13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0.75" customHeight="1"/>
    <row r="8" spans="1:10" ht="12.75">
      <c r="A8" s="579" t="s">
        <v>644</v>
      </c>
      <c r="B8" s="579"/>
      <c r="C8" s="24"/>
      <c r="H8" s="696" t="s">
        <v>843</v>
      </c>
      <c r="I8" s="696"/>
      <c r="J8" s="696"/>
    </row>
    <row r="9" spans="1:15" ht="12.75">
      <c r="A9" s="553" t="s">
        <v>2</v>
      </c>
      <c r="B9" s="553" t="s">
        <v>3</v>
      </c>
      <c r="C9" s="574" t="s">
        <v>914</v>
      </c>
      <c r="D9" s="589"/>
      <c r="E9" s="589"/>
      <c r="F9" s="575"/>
      <c r="G9" s="574" t="s">
        <v>108</v>
      </c>
      <c r="H9" s="589"/>
      <c r="I9" s="589"/>
      <c r="J9" s="575"/>
      <c r="O9" s="16"/>
    </row>
    <row r="10" spans="1:10" ht="53.25" customHeight="1">
      <c r="A10" s="553"/>
      <c r="B10" s="553"/>
      <c r="C10" s="6" t="s">
        <v>206</v>
      </c>
      <c r="D10" s="6" t="s">
        <v>17</v>
      </c>
      <c r="E10" s="158" t="s">
        <v>389</v>
      </c>
      <c r="F10" s="8" t="s">
        <v>223</v>
      </c>
      <c r="G10" s="6" t="s">
        <v>206</v>
      </c>
      <c r="H10" s="20" t="s">
        <v>18</v>
      </c>
      <c r="I10" s="72" t="s">
        <v>116</v>
      </c>
      <c r="J10" s="6" t="s">
        <v>224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8">
        <v>6</v>
      </c>
      <c r="G11" s="6">
        <v>7</v>
      </c>
      <c r="H11" s="20">
        <v>8</v>
      </c>
      <c r="I11" s="6">
        <v>9</v>
      </c>
      <c r="J11" s="6">
        <v>10</v>
      </c>
    </row>
    <row r="12" spans="1:10" ht="30.75" customHeight="1">
      <c r="A12" s="15">
        <v>1</v>
      </c>
      <c r="B12" s="16"/>
      <c r="C12" s="16"/>
      <c r="D12" s="16"/>
      <c r="E12" s="16"/>
      <c r="F12" s="71"/>
      <c r="G12" s="16"/>
      <c r="H12" s="22"/>
      <c r="I12" s="22"/>
      <c r="J12" s="22"/>
    </row>
    <row r="13" spans="1:10" ht="27" customHeight="1">
      <c r="A13" s="15">
        <v>2</v>
      </c>
      <c r="B13" s="16"/>
      <c r="C13" s="16"/>
      <c r="D13" s="690" t="s">
        <v>641</v>
      </c>
      <c r="E13" s="691"/>
      <c r="F13" s="691"/>
      <c r="G13" s="691"/>
      <c r="H13" s="692"/>
      <c r="I13" s="22"/>
      <c r="J13" s="22"/>
    </row>
    <row r="14" spans="1:10" ht="28.5" customHeight="1">
      <c r="A14" s="15">
        <v>3</v>
      </c>
      <c r="B14" s="16"/>
      <c r="C14" s="16"/>
      <c r="D14" s="693"/>
      <c r="E14" s="694"/>
      <c r="F14" s="694"/>
      <c r="G14" s="694"/>
      <c r="H14" s="695"/>
      <c r="I14" s="22"/>
      <c r="J14" s="22"/>
    </row>
    <row r="15" spans="1:10" ht="27" customHeight="1">
      <c r="A15" s="15">
        <v>4</v>
      </c>
      <c r="B15" s="16"/>
      <c r="C15" s="16"/>
      <c r="D15" s="16"/>
      <c r="E15" s="16"/>
      <c r="F15" s="21"/>
      <c r="G15" s="16"/>
      <c r="H15" s="22"/>
      <c r="I15" s="22"/>
      <c r="J15" s="22"/>
    </row>
    <row r="16" spans="1:10" ht="33" customHeight="1">
      <c r="A16" s="4" t="s">
        <v>19</v>
      </c>
      <c r="B16" s="23"/>
      <c r="C16" s="23"/>
      <c r="D16" s="16"/>
      <c r="E16" s="16"/>
      <c r="F16" s="21"/>
      <c r="G16" s="16"/>
      <c r="H16" s="22"/>
      <c r="I16" s="22"/>
      <c r="J16" s="22"/>
    </row>
    <row r="17" spans="1:3" ht="12.75">
      <c r="A17" s="3"/>
      <c r="B17" s="13"/>
      <c r="C17" s="13"/>
    </row>
    <row r="18" spans="1:3" ht="12.75">
      <c r="A18" s="3"/>
      <c r="B18" s="13"/>
      <c r="C18" s="13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10" ht="12.75">
      <c r="A24" s="13" t="s">
        <v>12</v>
      </c>
      <c r="B24" s="13"/>
      <c r="C24" s="13"/>
      <c r="D24" s="13"/>
      <c r="E24" s="13"/>
      <c r="F24" s="13"/>
      <c r="G24" s="13"/>
      <c r="I24" s="602" t="s">
        <v>13</v>
      </c>
      <c r="J24" s="602"/>
    </row>
    <row r="25" spans="1:10" ht="12.75">
      <c r="A25" s="617" t="s">
        <v>14</v>
      </c>
      <c r="B25" s="617"/>
      <c r="C25" s="617"/>
      <c r="D25" s="617"/>
      <c r="E25" s="617"/>
      <c r="F25" s="617"/>
      <c r="G25" s="617"/>
      <c r="H25" s="617"/>
      <c r="I25" s="617"/>
      <c r="J25" s="617"/>
    </row>
    <row r="26" spans="1:10" ht="12.75">
      <c r="A26" s="617" t="s">
        <v>20</v>
      </c>
      <c r="B26" s="617"/>
      <c r="C26" s="617"/>
      <c r="D26" s="617"/>
      <c r="E26" s="617"/>
      <c r="F26" s="617"/>
      <c r="G26" s="617"/>
      <c r="H26" s="617"/>
      <c r="I26" s="617"/>
      <c r="J26" s="617"/>
    </row>
    <row r="27" spans="1:10" ht="12.75">
      <c r="A27" s="13"/>
      <c r="B27" s="13"/>
      <c r="C27" s="13"/>
      <c r="E27" s="13"/>
      <c r="H27" s="579" t="s">
        <v>86</v>
      </c>
      <c r="I27" s="579"/>
      <c r="J27" s="579"/>
    </row>
    <row r="31" spans="1:10" ht="12">
      <c r="A31" s="676"/>
      <c r="B31" s="676"/>
      <c r="C31" s="676"/>
      <c r="D31" s="676"/>
      <c r="E31" s="676"/>
      <c r="F31" s="676"/>
      <c r="G31" s="676"/>
      <c r="H31" s="676"/>
      <c r="I31" s="676"/>
      <c r="J31" s="676"/>
    </row>
    <row r="32" ht="15.75" customHeight="1"/>
    <row r="33" spans="1:10" ht="12.75" customHeight="1">
      <c r="A33" s="676"/>
      <c r="B33" s="676"/>
      <c r="C33" s="676"/>
      <c r="D33" s="676"/>
      <c r="E33" s="676"/>
      <c r="F33" s="676"/>
      <c r="G33" s="676"/>
      <c r="H33" s="676"/>
      <c r="I33" s="676"/>
      <c r="J33" s="676"/>
    </row>
    <row r="34" ht="12.75" customHeight="1"/>
  </sheetData>
  <sheetProtection/>
  <mergeCells count="17">
    <mergeCell ref="D13:H14"/>
    <mergeCell ref="E1:I1"/>
    <mergeCell ref="A2:J2"/>
    <mergeCell ref="A3:J3"/>
    <mergeCell ref="A5:J5"/>
    <mergeCell ref="A8:B8"/>
    <mergeCell ref="H8:J8"/>
    <mergeCell ref="A26:J26"/>
    <mergeCell ref="H27:J27"/>
    <mergeCell ref="A31:J31"/>
    <mergeCell ref="A33:J33"/>
    <mergeCell ref="A9:A10"/>
    <mergeCell ref="B9:B10"/>
    <mergeCell ref="C9:F9"/>
    <mergeCell ref="G9:J9"/>
    <mergeCell ref="I24:J24"/>
    <mergeCell ref="A25:J2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90" zoomScaleSheetLayoutView="90" zoomScalePageLayoutView="0" workbookViewId="0" topLeftCell="A10">
      <selection activeCell="G11" sqref="G11"/>
    </sheetView>
  </sheetViews>
  <sheetFormatPr defaultColWidth="9.140625" defaultRowHeight="12.75"/>
  <cols>
    <col min="1" max="1" width="6.7109375" style="2" customWidth="1"/>
    <col min="2" max="2" width="11.57421875" style="2" customWidth="1"/>
    <col min="3" max="3" width="12.00390625" style="2" customWidth="1"/>
    <col min="4" max="4" width="10.421875" style="2" customWidth="1"/>
    <col min="5" max="5" width="10.7109375" style="2" customWidth="1"/>
    <col min="6" max="6" width="13.00390625" style="2" customWidth="1"/>
    <col min="7" max="7" width="15.140625" style="2" customWidth="1"/>
    <col min="8" max="8" width="12.421875" style="2" customWidth="1"/>
    <col min="9" max="9" width="12.140625" style="2" customWidth="1"/>
    <col min="10" max="10" width="11.7109375" style="2" customWidth="1"/>
    <col min="11" max="11" width="12.00390625" style="2" customWidth="1"/>
    <col min="12" max="12" width="14.140625" style="2" customWidth="1"/>
    <col min="13" max="16384" width="9.140625" style="2" customWidth="1"/>
  </cols>
  <sheetData>
    <row r="1" spans="4:15" ht="15">
      <c r="D1" s="13"/>
      <c r="E1" s="13"/>
      <c r="F1" s="13"/>
      <c r="G1" s="13"/>
      <c r="H1" s="13"/>
      <c r="I1" s="13"/>
      <c r="J1" s="13"/>
      <c r="K1" s="13"/>
      <c r="L1" s="700" t="s">
        <v>65</v>
      </c>
      <c r="M1" s="700"/>
      <c r="N1" s="32"/>
      <c r="O1" s="32"/>
    </row>
    <row r="2" spans="1:15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34"/>
      <c r="N2" s="34"/>
      <c r="O2" s="34"/>
    </row>
    <row r="3" spans="1:15" ht="19.5">
      <c r="A3" s="674" t="s">
        <v>876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33"/>
      <c r="N3" s="33"/>
      <c r="O3" s="33"/>
    </row>
    <row r="4" ht="10.5" customHeight="1"/>
    <row r="5" spans="1:12" ht="19.5" customHeight="1">
      <c r="A5" s="669" t="s">
        <v>877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</row>
    <row r="6" spans="1:12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579" t="s">
        <v>651</v>
      </c>
      <c r="B7" s="579"/>
      <c r="F7" s="697" t="s">
        <v>21</v>
      </c>
      <c r="G7" s="697"/>
      <c r="H7" s="697"/>
      <c r="I7" s="697"/>
      <c r="J7" s="697"/>
      <c r="K7" s="697"/>
      <c r="L7" s="697"/>
    </row>
    <row r="8" spans="1:12" ht="12.75">
      <c r="A8" s="13"/>
      <c r="F8" s="14"/>
      <c r="G8" s="69"/>
      <c r="H8" s="69"/>
      <c r="I8" s="653" t="s">
        <v>878</v>
      </c>
      <c r="J8" s="653"/>
      <c r="K8" s="653"/>
      <c r="L8" s="653"/>
    </row>
    <row r="9" spans="1:12" s="13" customFormat="1" ht="12.75">
      <c r="A9" s="553" t="s">
        <v>2</v>
      </c>
      <c r="B9" s="553" t="s">
        <v>3</v>
      </c>
      <c r="C9" s="560" t="s">
        <v>22</v>
      </c>
      <c r="D9" s="596"/>
      <c r="E9" s="596"/>
      <c r="F9" s="596"/>
      <c r="G9" s="596"/>
      <c r="H9" s="698" t="s">
        <v>44</v>
      </c>
      <c r="I9" s="699"/>
      <c r="J9" s="699"/>
      <c r="K9" s="699"/>
      <c r="L9" s="699"/>
    </row>
    <row r="10" spans="1:12" s="13" customFormat="1" ht="77.25" customHeight="1">
      <c r="A10" s="553"/>
      <c r="B10" s="553"/>
      <c r="C10" s="6" t="s">
        <v>915</v>
      </c>
      <c r="D10" s="6" t="s">
        <v>823</v>
      </c>
      <c r="E10" s="6" t="s">
        <v>72</v>
      </c>
      <c r="F10" s="6" t="s">
        <v>73</v>
      </c>
      <c r="G10" s="6" t="s">
        <v>390</v>
      </c>
      <c r="H10" s="6" t="s">
        <v>915</v>
      </c>
      <c r="I10" s="6" t="s">
        <v>823</v>
      </c>
      <c r="J10" s="6" t="s">
        <v>72</v>
      </c>
      <c r="K10" s="6" t="s">
        <v>73</v>
      </c>
      <c r="L10" s="6" t="s">
        <v>391</v>
      </c>
    </row>
    <row r="11" spans="1:12" s="13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1.5" customHeight="1">
      <c r="A12" s="215">
        <v>1</v>
      </c>
      <c r="B12" s="211" t="s">
        <v>632</v>
      </c>
      <c r="C12" s="422">
        <v>290.38</v>
      </c>
      <c r="D12" s="423">
        <v>0</v>
      </c>
      <c r="E12" s="422">
        <v>290.38</v>
      </c>
      <c r="F12" s="422">
        <v>290.38</v>
      </c>
      <c r="G12" s="259">
        <f>E12-F12</f>
        <v>0</v>
      </c>
      <c r="H12" s="206"/>
      <c r="I12" s="206"/>
      <c r="J12" s="206"/>
      <c r="K12" s="206"/>
      <c r="L12" s="100"/>
    </row>
    <row r="13" spans="1:12" ht="22.5" customHeight="1">
      <c r="A13" s="215">
        <v>2</v>
      </c>
      <c r="B13" s="211" t="s">
        <v>633</v>
      </c>
      <c r="C13" s="423">
        <v>168.87</v>
      </c>
      <c r="D13" s="423">
        <v>0</v>
      </c>
      <c r="E13" s="423">
        <v>168.87</v>
      </c>
      <c r="F13" s="423">
        <v>168.87</v>
      </c>
      <c r="G13" s="259">
        <f>E13-F13</f>
        <v>0</v>
      </c>
      <c r="H13" s="206"/>
      <c r="I13" s="206"/>
      <c r="J13" s="206"/>
      <c r="K13" s="206"/>
      <c r="L13" s="100"/>
    </row>
    <row r="14" spans="1:12" ht="33" customHeight="1">
      <c r="A14" s="215">
        <v>3</v>
      </c>
      <c r="B14" s="211" t="s">
        <v>634</v>
      </c>
      <c r="C14" s="423">
        <v>56.74</v>
      </c>
      <c r="D14" s="423">
        <v>0</v>
      </c>
      <c r="E14" s="423">
        <v>56.74</v>
      </c>
      <c r="F14" s="423">
        <v>56.74</v>
      </c>
      <c r="G14" s="259">
        <f>E14-F14</f>
        <v>0</v>
      </c>
      <c r="H14" s="701" t="s">
        <v>640</v>
      </c>
      <c r="I14" s="703"/>
      <c r="J14" s="703"/>
      <c r="K14" s="703"/>
      <c r="L14" s="702"/>
    </row>
    <row r="15" spans="1:12" ht="25.5" customHeight="1">
      <c r="A15" s="215">
        <v>4</v>
      </c>
      <c r="B15" s="211" t="s">
        <v>635</v>
      </c>
      <c r="C15" s="423">
        <v>186.24</v>
      </c>
      <c r="D15" s="423">
        <v>0</v>
      </c>
      <c r="E15" s="423">
        <v>186.24</v>
      </c>
      <c r="F15" s="423">
        <v>186.24</v>
      </c>
      <c r="G15" s="259">
        <f>E15-F15</f>
        <v>0</v>
      </c>
      <c r="H15" s="206"/>
      <c r="I15" s="206"/>
      <c r="J15" s="206"/>
      <c r="K15" s="206"/>
      <c r="L15" s="100"/>
    </row>
    <row r="16" spans="1:12" ht="33.75" customHeight="1">
      <c r="A16" s="701" t="s">
        <v>19</v>
      </c>
      <c r="B16" s="702"/>
      <c r="C16" s="424">
        <f>SUM(C12:C15)</f>
        <v>702.23</v>
      </c>
      <c r="D16" s="423">
        <v>0</v>
      </c>
      <c r="E16" s="424">
        <f>SUM(E12:E15)</f>
        <v>702.23</v>
      </c>
      <c r="F16" s="424">
        <f>SUM(F12:F15)</f>
        <v>702.23</v>
      </c>
      <c r="G16" s="259">
        <f>E16-F16</f>
        <v>0</v>
      </c>
      <c r="H16" s="205"/>
      <c r="I16" s="207"/>
      <c r="J16" s="207"/>
      <c r="K16" s="207"/>
      <c r="L16" s="15"/>
    </row>
    <row r="17" spans="1:12" ht="33.75" customHeight="1">
      <c r="A17" s="461"/>
      <c r="B17" s="461"/>
      <c r="C17" s="462">
        <v>896.3100000000001</v>
      </c>
      <c r="D17" s="463">
        <v>0</v>
      </c>
      <c r="E17" s="462">
        <v>896.3100000000001</v>
      </c>
      <c r="F17" s="462">
        <v>896.3100000000001</v>
      </c>
      <c r="G17" s="464">
        <v>0</v>
      </c>
      <c r="H17" s="465"/>
      <c r="I17" s="466"/>
      <c r="J17" s="466"/>
      <c r="K17" s="466"/>
      <c r="L17" s="466"/>
    </row>
    <row r="18" spans="1:12" ht="33.75" customHeight="1">
      <c r="A18" s="461"/>
      <c r="B18" s="461"/>
      <c r="C18" s="467">
        <f>SUM(C16:C17)</f>
        <v>1598.54</v>
      </c>
      <c r="D18" s="467">
        <f>SUM(D16:D17)</f>
        <v>0</v>
      </c>
      <c r="E18" s="467">
        <f>SUM(E16:E17)</f>
        <v>1598.54</v>
      </c>
      <c r="F18" s="467">
        <f>SUM(F16:F17)</f>
        <v>1598.54</v>
      </c>
      <c r="G18" s="467">
        <f>SUM(G16:G17)</f>
        <v>0</v>
      </c>
      <c r="H18" s="465"/>
      <c r="I18" s="466"/>
      <c r="J18" s="466"/>
      <c r="K18" s="466"/>
      <c r="L18" s="466"/>
    </row>
    <row r="19" spans="1:6" ht="12">
      <c r="A19" s="2" t="s">
        <v>393</v>
      </c>
      <c r="F19" s="469">
        <f>F18/C18</f>
        <v>1</v>
      </c>
    </row>
    <row r="20" ht="12">
      <c r="A20" s="18" t="s">
        <v>392</v>
      </c>
    </row>
    <row r="21" ht="12">
      <c r="A21" s="18"/>
    </row>
    <row r="22" ht="12">
      <c r="A22" s="18"/>
    </row>
    <row r="23" ht="12">
      <c r="A23" s="18"/>
    </row>
    <row r="24" ht="12">
      <c r="A24" s="18"/>
    </row>
    <row r="25" ht="12">
      <c r="A25" s="18"/>
    </row>
    <row r="26" ht="12">
      <c r="A26" s="18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617" t="s">
        <v>13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</row>
    <row r="29" spans="1:12" ht="12.75">
      <c r="A29" s="617" t="s">
        <v>14</v>
      </c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</row>
    <row r="30" spans="1:12" ht="12.75">
      <c r="A30" s="617" t="s">
        <v>20</v>
      </c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7"/>
    </row>
    <row r="31" spans="1:12" ht="12.75">
      <c r="A31" s="13" t="s">
        <v>23</v>
      </c>
      <c r="B31" s="13"/>
      <c r="C31" s="13"/>
      <c r="D31" s="13"/>
      <c r="E31" s="13"/>
      <c r="F31" s="13"/>
      <c r="J31" s="579" t="s">
        <v>86</v>
      </c>
      <c r="K31" s="579"/>
      <c r="L31" s="579"/>
    </row>
    <row r="32" ht="12.75">
      <c r="A32" s="13"/>
    </row>
    <row r="33" spans="1:12" ht="15.75" customHeight="1">
      <c r="A33" s="588"/>
      <c r="B33" s="588"/>
      <c r="C33" s="588"/>
      <c r="D33" s="588"/>
      <c r="E33" s="588"/>
      <c r="F33" s="588"/>
      <c r="G33" s="588"/>
      <c r="H33" s="588"/>
      <c r="I33" s="588"/>
      <c r="J33" s="588"/>
      <c r="K33" s="588"/>
      <c r="L33" s="588"/>
    </row>
    <row r="34" ht="18" customHeight="1"/>
  </sheetData>
  <sheetProtection/>
  <mergeCells count="18">
    <mergeCell ref="L1:M1"/>
    <mergeCell ref="A3:L3"/>
    <mergeCell ref="A2:L2"/>
    <mergeCell ref="A5:L5"/>
    <mergeCell ref="A7:B7"/>
    <mergeCell ref="A30:L30"/>
    <mergeCell ref="A16:B16"/>
    <mergeCell ref="H14:L14"/>
    <mergeCell ref="A33:L33"/>
    <mergeCell ref="F7:L7"/>
    <mergeCell ref="A9:A10"/>
    <mergeCell ref="B9:B10"/>
    <mergeCell ref="A28:L28"/>
    <mergeCell ref="J31:L31"/>
    <mergeCell ref="A29:L29"/>
    <mergeCell ref="C9:G9"/>
    <mergeCell ref="H9:L9"/>
    <mergeCell ref="I8:L8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3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90" zoomScaleSheetLayoutView="90" zoomScalePageLayoutView="0" workbookViewId="0" topLeftCell="A6">
      <selection activeCell="C16" sqref="C16"/>
    </sheetView>
  </sheetViews>
  <sheetFormatPr defaultColWidth="9.140625" defaultRowHeight="12.75"/>
  <cols>
    <col min="1" max="1" width="6.00390625" style="2" customWidth="1"/>
    <col min="2" max="2" width="11.421875" style="2" customWidth="1"/>
    <col min="3" max="3" width="10.57421875" style="2" customWidth="1"/>
    <col min="4" max="4" width="9.8515625" style="2" customWidth="1"/>
    <col min="5" max="5" width="8.7109375" style="2" customWidth="1"/>
    <col min="6" max="6" width="10.8515625" style="2" customWidth="1"/>
    <col min="7" max="7" width="15.8515625" style="2" customWidth="1"/>
    <col min="8" max="8" width="12.421875" style="2" customWidth="1"/>
    <col min="9" max="9" width="12.140625" style="2" customWidth="1"/>
    <col min="10" max="10" width="9.00390625" style="2" customWidth="1"/>
    <col min="11" max="11" width="12.00390625" style="2" customWidth="1"/>
    <col min="12" max="12" width="13.7109375" style="2" customWidth="1"/>
    <col min="13" max="13" width="9.140625" style="2" hidden="1" customWidth="1"/>
    <col min="14" max="16384" width="9.140625" style="2" customWidth="1"/>
  </cols>
  <sheetData>
    <row r="1" spans="4:16" ht="15">
      <c r="D1" s="13"/>
      <c r="E1" s="13"/>
      <c r="F1" s="13"/>
      <c r="G1" s="13"/>
      <c r="H1" s="13"/>
      <c r="I1" s="13"/>
      <c r="J1" s="13"/>
      <c r="K1" s="13"/>
      <c r="L1" s="700" t="s">
        <v>74</v>
      </c>
      <c r="M1" s="700"/>
      <c r="N1" s="700"/>
      <c r="O1" s="32"/>
      <c r="P1" s="32"/>
    </row>
    <row r="2" spans="1:16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34"/>
      <c r="N2" s="34"/>
      <c r="O2" s="34"/>
      <c r="P2" s="34"/>
    </row>
    <row r="3" spans="1:16" ht="19.5">
      <c r="A3" s="704" t="s">
        <v>841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33"/>
      <c r="N3" s="33"/>
      <c r="O3" s="33"/>
      <c r="P3" s="33"/>
    </row>
    <row r="4" ht="10.5" customHeight="1"/>
    <row r="5" spans="1:12" ht="19.5" customHeight="1">
      <c r="A5" s="669" t="s">
        <v>879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</row>
    <row r="6" spans="1:12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579" t="s">
        <v>644</v>
      </c>
      <c r="B7" s="579"/>
      <c r="F7" s="697" t="s">
        <v>21</v>
      </c>
      <c r="G7" s="697"/>
      <c r="H7" s="697"/>
      <c r="I7" s="697"/>
      <c r="J7" s="697"/>
      <c r="K7" s="697"/>
      <c r="L7" s="697"/>
    </row>
    <row r="8" spans="1:12" ht="12.75">
      <c r="A8" s="13"/>
      <c r="F8" s="14"/>
      <c r="G8" s="69"/>
      <c r="H8" s="69"/>
      <c r="I8" s="653" t="s">
        <v>880</v>
      </c>
      <c r="J8" s="653"/>
      <c r="K8" s="653"/>
      <c r="L8" s="653"/>
    </row>
    <row r="9" spans="1:18" s="13" customFormat="1" ht="12.75">
      <c r="A9" s="553" t="s">
        <v>2</v>
      </c>
      <c r="B9" s="553" t="s">
        <v>3</v>
      </c>
      <c r="C9" s="560" t="s">
        <v>22</v>
      </c>
      <c r="D9" s="596"/>
      <c r="E9" s="596"/>
      <c r="F9" s="596"/>
      <c r="G9" s="596"/>
      <c r="H9" s="560" t="s">
        <v>44</v>
      </c>
      <c r="I9" s="596"/>
      <c r="J9" s="596"/>
      <c r="K9" s="596"/>
      <c r="L9" s="596"/>
      <c r="R9" s="23"/>
    </row>
    <row r="10" spans="1:12" s="13" customFormat="1" ht="77.25" customHeight="1">
      <c r="A10" s="553"/>
      <c r="B10" s="553"/>
      <c r="C10" s="6" t="s">
        <v>747</v>
      </c>
      <c r="D10" s="6" t="s">
        <v>748</v>
      </c>
      <c r="E10" s="6" t="s">
        <v>72</v>
      </c>
      <c r="F10" s="6" t="s">
        <v>73</v>
      </c>
      <c r="G10" s="6" t="s">
        <v>394</v>
      </c>
      <c r="H10" s="6" t="s">
        <v>747</v>
      </c>
      <c r="I10" s="6" t="s">
        <v>748</v>
      </c>
      <c r="J10" s="6" t="s">
        <v>72</v>
      </c>
      <c r="K10" s="6" t="s">
        <v>73</v>
      </c>
      <c r="L10" s="6" t="s">
        <v>395</v>
      </c>
    </row>
    <row r="11" spans="1:12" s="13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3" ht="31.5" customHeight="1">
      <c r="A12" s="215">
        <v>1</v>
      </c>
      <c r="B12" s="211" t="s">
        <v>632</v>
      </c>
      <c r="C12" s="425">
        <v>368.32</v>
      </c>
      <c r="D12" s="264">
        <v>0</v>
      </c>
      <c r="E12" s="425">
        <v>368.32</v>
      </c>
      <c r="F12" s="425">
        <v>368.32</v>
      </c>
      <c r="G12" s="259">
        <f>E12-F12</f>
        <v>0</v>
      </c>
      <c r="H12" s="212"/>
      <c r="I12" s="212"/>
      <c r="J12" s="212"/>
      <c r="K12" s="212"/>
      <c r="L12" s="210"/>
      <c r="M12" s="213"/>
    </row>
    <row r="13" spans="1:13" ht="26.25" customHeight="1">
      <c r="A13" s="215">
        <v>2</v>
      </c>
      <c r="B13" s="211" t="s">
        <v>633</v>
      </c>
      <c r="C13" s="425">
        <v>238.02</v>
      </c>
      <c r="D13" s="264">
        <v>0</v>
      </c>
      <c r="E13" s="425">
        <v>238.02</v>
      </c>
      <c r="F13" s="425">
        <v>238.02</v>
      </c>
      <c r="G13" s="259">
        <f>E13-F13</f>
        <v>0</v>
      </c>
      <c r="H13" s="212"/>
      <c r="I13" s="212"/>
      <c r="J13" s="212"/>
      <c r="K13" s="212"/>
      <c r="L13" s="210"/>
      <c r="M13" s="213"/>
    </row>
    <row r="14" spans="1:13" ht="30" customHeight="1">
      <c r="A14" s="215">
        <v>3</v>
      </c>
      <c r="B14" s="211" t="s">
        <v>634</v>
      </c>
      <c r="C14" s="425">
        <v>59.33</v>
      </c>
      <c r="D14" s="264">
        <v>0</v>
      </c>
      <c r="E14" s="425">
        <v>59.33</v>
      </c>
      <c r="F14" s="425">
        <v>59.33</v>
      </c>
      <c r="G14" s="259">
        <f>E14-F14</f>
        <v>0</v>
      </c>
      <c r="H14" s="701" t="s">
        <v>640</v>
      </c>
      <c r="I14" s="703"/>
      <c r="J14" s="703"/>
      <c r="K14" s="703"/>
      <c r="L14" s="703"/>
      <c r="M14" s="256"/>
    </row>
    <row r="15" spans="1:13" ht="28.5" customHeight="1">
      <c r="A15" s="215">
        <v>4</v>
      </c>
      <c r="B15" s="211" t="s">
        <v>635</v>
      </c>
      <c r="C15" s="425">
        <v>230.64</v>
      </c>
      <c r="D15" s="264">
        <v>0</v>
      </c>
      <c r="E15" s="425">
        <v>230.64</v>
      </c>
      <c r="F15" s="425">
        <v>230.64</v>
      </c>
      <c r="G15" s="259">
        <f>E15-F15</f>
        <v>0</v>
      </c>
      <c r="H15" s="212"/>
      <c r="I15" s="212"/>
      <c r="J15" s="212"/>
      <c r="K15" s="212"/>
      <c r="L15" s="210"/>
      <c r="M15" s="213"/>
    </row>
    <row r="16" spans="1:13" ht="28.5" customHeight="1">
      <c r="A16" s="211"/>
      <c r="B16" s="211" t="s">
        <v>19</v>
      </c>
      <c r="C16" s="426">
        <f>SUM(C12:C15)</f>
        <v>896.3100000000001</v>
      </c>
      <c r="D16" s="427">
        <v>0</v>
      </c>
      <c r="E16" s="426">
        <f>SUM(E12:E15)</f>
        <v>896.3100000000001</v>
      </c>
      <c r="F16" s="426">
        <f>SUM(F12:F15)</f>
        <v>896.3100000000001</v>
      </c>
      <c r="G16" s="259">
        <f>E16-F16</f>
        <v>0</v>
      </c>
      <c r="H16" s="214"/>
      <c r="I16" s="212"/>
      <c r="J16" s="212"/>
      <c r="K16" s="212"/>
      <c r="L16" s="210"/>
      <c r="M16" s="213"/>
    </row>
    <row r="17" ht="12">
      <c r="A17" s="2" t="s">
        <v>393</v>
      </c>
    </row>
    <row r="18" ht="12">
      <c r="A18" s="18" t="s">
        <v>392</v>
      </c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617" t="s">
        <v>13</v>
      </c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</row>
    <row r="28" spans="1:12" ht="12.75">
      <c r="A28" s="617" t="s">
        <v>14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</row>
    <row r="29" spans="1:12" ht="12.75">
      <c r="A29" s="617" t="s">
        <v>20</v>
      </c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</row>
    <row r="30" spans="1:12" ht="12.75">
      <c r="A30" s="13" t="s">
        <v>23</v>
      </c>
      <c r="B30" s="13"/>
      <c r="C30" s="13"/>
      <c r="D30" s="13"/>
      <c r="E30" s="13"/>
      <c r="F30" s="13"/>
      <c r="J30" s="24" t="s">
        <v>86</v>
      </c>
      <c r="K30" s="24"/>
      <c r="L30" s="24"/>
    </row>
    <row r="31" ht="15.75" customHeight="1">
      <c r="A31" s="13"/>
    </row>
    <row r="32" spans="1:12" ht="15.75" customHeight="1">
      <c r="A32" s="588"/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</row>
    <row r="33" ht="14.25" customHeight="1"/>
    <row r="36" ht="12.75">
      <c r="M36" s="24"/>
    </row>
  </sheetData>
  <sheetProtection/>
  <mergeCells count="16">
    <mergeCell ref="A29:L29"/>
    <mergeCell ref="A32:L32"/>
    <mergeCell ref="A9:A10"/>
    <mergeCell ref="B9:B10"/>
    <mergeCell ref="C9:G9"/>
    <mergeCell ref="H9:L9"/>
    <mergeCell ref="A27:L27"/>
    <mergeCell ref="A28:L28"/>
    <mergeCell ref="H14:L14"/>
    <mergeCell ref="I8:L8"/>
    <mergeCell ref="F7:L7"/>
    <mergeCell ref="A7:B7"/>
    <mergeCell ref="L1:N1"/>
    <mergeCell ref="A2:L2"/>
    <mergeCell ref="A3:L3"/>
    <mergeCell ref="A5:L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0" r:id="rId1"/>
  <rowBreaks count="1" manualBreakCount="1">
    <brk id="3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87" zoomScaleSheetLayoutView="87" zoomScalePageLayoutView="0" workbookViewId="0" topLeftCell="A5">
      <selection activeCell="C19" sqref="C19"/>
    </sheetView>
  </sheetViews>
  <sheetFormatPr defaultColWidth="9.140625" defaultRowHeight="12.75"/>
  <cols>
    <col min="1" max="1" width="5.7109375" style="2" customWidth="1"/>
    <col min="2" max="2" width="12.421875" style="2" customWidth="1"/>
    <col min="3" max="3" width="13.00390625" style="2" customWidth="1"/>
    <col min="4" max="4" width="12.00390625" style="2" customWidth="1"/>
    <col min="5" max="5" width="12.421875" style="2" customWidth="1"/>
    <col min="6" max="6" width="12.7109375" style="2" customWidth="1"/>
    <col min="7" max="7" width="8.8515625" style="2" customWidth="1"/>
    <col min="8" max="8" width="12.7109375" style="2" customWidth="1"/>
    <col min="9" max="9" width="12.140625" style="2" customWidth="1"/>
    <col min="10" max="10" width="12.140625" style="166" customWidth="1"/>
    <col min="11" max="11" width="16.57421875" style="2" customWidth="1"/>
    <col min="12" max="12" width="13.140625" style="2" customWidth="1"/>
    <col min="13" max="13" width="12.7109375" style="2" customWidth="1"/>
    <col min="14" max="16384" width="9.140625" style="2" customWidth="1"/>
  </cols>
  <sheetData>
    <row r="1" spans="11:13" ht="12.75">
      <c r="K1" s="581" t="s">
        <v>230</v>
      </c>
      <c r="L1" s="581"/>
      <c r="M1" s="581"/>
    </row>
    <row r="2" ht="12.75" customHeight="1"/>
    <row r="3" spans="2:11" ht="15">
      <c r="B3" s="582" t="s">
        <v>0</v>
      </c>
      <c r="C3" s="582"/>
      <c r="D3" s="582"/>
      <c r="E3" s="582"/>
      <c r="F3" s="582"/>
      <c r="G3" s="582"/>
      <c r="H3" s="582"/>
      <c r="I3" s="582"/>
      <c r="J3" s="582"/>
      <c r="K3" s="582"/>
    </row>
    <row r="4" spans="2:11" ht="19.5">
      <c r="B4" s="674" t="s">
        <v>841</v>
      </c>
      <c r="C4" s="674"/>
      <c r="D4" s="674"/>
      <c r="E4" s="674"/>
      <c r="F4" s="674"/>
      <c r="G4" s="674"/>
      <c r="H4" s="674"/>
      <c r="I4" s="674"/>
      <c r="J4" s="674"/>
      <c r="K4" s="674"/>
    </row>
    <row r="5" ht="10.5" customHeight="1"/>
    <row r="6" spans="1:11" ht="15">
      <c r="A6" s="76" t="s">
        <v>881</v>
      </c>
      <c r="B6" s="76"/>
      <c r="C6" s="76"/>
      <c r="D6" s="76"/>
      <c r="E6" s="76"/>
      <c r="F6" s="76"/>
      <c r="G6" s="76"/>
      <c r="H6" s="76"/>
      <c r="I6" s="76"/>
      <c r="J6" s="167"/>
      <c r="K6" s="76"/>
    </row>
    <row r="7" spans="2:13" ht="15">
      <c r="B7" s="36"/>
      <c r="C7" s="36"/>
      <c r="D7" s="36"/>
      <c r="E7" s="36"/>
      <c r="F7" s="36"/>
      <c r="G7" s="36"/>
      <c r="H7" s="36"/>
      <c r="L7" s="708" t="s">
        <v>210</v>
      </c>
      <c r="M7" s="708"/>
    </row>
    <row r="8" spans="1:13" ht="15">
      <c r="A8" s="2" t="s">
        <v>653</v>
      </c>
      <c r="C8" s="36"/>
      <c r="D8" s="36"/>
      <c r="E8" s="36"/>
      <c r="F8" s="36"/>
      <c r="G8" s="653" t="s">
        <v>880</v>
      </c>
      <c r="H8" s="653"/>
      <c r="I8" s="653"/>
      <c r="J8" s="653"/>
      <c r="K8" s="653"/>
      <c r="L8" s="653"/>
      <c r="M8" s="653"/>
    </row>
    <row r="9" spans="1:13" ht="15.75" customHeight="1">
      <c r="A9" s="662" t="s">
        <v>26</v>
      </c>
      <c r="B9" s="670" t="s">
        <v>3</v>
      </c>
      <c r="C9" s="553" t="s">
        <v>916</v>
      </c>
      <c r="D9" s="553" t="s">
        <v>917</v>
      </c>
      <c r="E9" s="553" t="s">
        <v>244</v>
      </c>
      <c r="F9" s="553" t="s">
        <v>243</v>
      </c>
      <c r="G9" s="553"/>
      <c r="H9" s="553" t="s">
        <v>207</v>
      </c>
      <c r="I9" s="553"/>
      <c r="J9" s="705" t="s">
        <v>469</v>
      </c>
      <c r="K9" s="553" t="s">
        <v>209</v>
      </c>
      <c r="L9" s="553" t="s">
        <v>442</v>
      </c>
      <c r="M9" s="553" t="s">
        <v>262</v>
      </c>
    </row>
    <row r="10" spans="1:13" ht="12">
      <c r="A10" s="709"/>
      <c r="B10" s="670"/>
      <c r="C10" s="553"/>
      <c r="D10" s="553"/>
      <c r="E10" s="553"/>
      <c r="F10" s="553"/>
      <c r="G10" s="553"/>
      <c r="H10" s="553"/>
      <c r="I10" s="553"/>
      <c r="J10" s="706"/>
      <c r="K10" s="553"/>
      <c r="L10" s="553"/>
      <c r="M10" s="553"/>
    </row>
    <row r="11" spans="1:13" ht="27" customHeight="1">
      <c r="A11" s="663"/>
      <c r="B11" s="670"/>
      <c r="C11" s="553"/>
      <c r="D11" s="553"/>
      <c r="E11" s="553"/>
      <c r="F11" s="6" t="s">
        <v>208</v>
      </c>
      <c r="G11" s="6" t="s">
        <v>263</v>
      </c>
      <c r="H11" s="6" t="s">
        <v>208</v>
      </c>
      <c r="I11" s="6" t="s">
        <v>263</v>
      </c>
      <c r="J11" s="707"/>
      <c r="K11" s="553"/>
      <c r="L11" s="553"/>
      <c r="M11" s="553"/>
    </row>
    <row r="12" spans="1:13" ht="12.75">
      <c r="A12" s="93">
        <v>1</v>
      </c>
      <c r="B12" s="93">
        <v>2</v>
      </c>
      <c r="C12" s="93">
        <v>3</v>
      </c>
      <c r="D12" s="93">
        <v>4</v>
      </c>
      <c r="E12" s="93">
        <v>5</v>
      </c>
      <c r="F12" s="93">
        <v>6</v>
      </c>
      <c r="G12" s="93">
        <v>7</v>
      </c>
      <c r="H12" s="93">
        <v>8</v>
      </c>
      <c r="I12" s="93">
        <v>9</v>
      </c>
      <c r="J12" s="168"/>
      <c r="K12" s="93">
        <v>10</v>
      </c>
      <c r="L12" s="4">
        <v>11</v>
      </c>
      <c r="M12" s="4">
        <v>12</v>
      </c>
    </row>
    <row r="13" spans="1:13" ht="38.25" customHeight="1">
      <c r="A13" s="215">
        <v>1</v>
      </c>
      <c r="B13" s="211" t="s">
        <v>632</v>
      </c>
      <c r="C13" s="503">
        <v>19.761</v>
      </c>
      <c r="D13" s="264">
        <v>0</v>
      </c>
      <c r="E13" s="264">
        <v>19.761</v>
      </c>
      <c r="F13" s="264">
        <v>658.7</v>
      </c>
      <c r="G13" s="264">
        <f>F13*0.03</f>
        <v>19.761</v>
      </c>
      <c r="H13" s="264">
        <v>658.7</v>
      </c>
      <c r="I13" s="428">
        <f>H13*0.03</f>
        <v>19.761</v>
      </c>
      <c r="J13" s="362">
        <f>G13-I13</f>
        <v>0</v>
      </c>
      <c r="K13" s="360">
        <f>D13+E13-I13</f>
        <v>0</v>
      </c>
      <c r="L13" s="215">
        <v>0</v>
      </c>
      <c r="M13" s="215">
        <v>0</v>
      </c>
    </row>
    <row r="14" spans="1:13" ht="36.75" customHeight="1">
      <c r="A14" s="215">
        <v>2</v>
      </c>
      <c r="B14" s="211" t="s">
        <v>633</v>
      </c>
      <c r="C14" s="503">
        <v>12.2067</v>
      </c>
      <c r="D14" s="264">
        <v>0</v>
      </c>
      <c r="E14" s="264">
        <v>12.2067</v>
      </c>
      <c r="F14" s="264">
        <v>406.89</v>
      </c>
      <c r="G14" s="264">
        <f>F14*0.03</f>
        <v>12.2067</v>
      </c>
      <c r="H14" s="264">
        <v>406.89</v>
      </c>
      <c r="I14" s="428">
        <f>H14*0.03</f>
        <v>12.2067</v>
      </c>
      <c r="J14" s="362">
        <f>G14-I14</f>
        <v>0</v>
      </c>
      <c r="K14" s="360">
        <f>D14+E14-I14</f>
        <v>0</v>
      </c>
      <c r="L14" s="215">
        <v>0</v>
      </c>
      <c r="M14" s="215">
        <v>0</v>
      </c>
    </row>
    <row r="15" spans="1:13" ht="30.75" customHeight="1">
      <c r="A15" s="215">
        <v>3</v>
      </c>
      <c r="B15" s="211" t="s">
        <v>634</v>
      </c>
      <c r="C15" s="503">
        <v>3.4820999999999995</v>
      </c>
      <c r="D15" s="264">
        <v>0</v>
      </c>
      <c r="E15" s="264">
        <v>3.4820999999999995</v>
      </c>
      <c r="F15" s="264">
        <v>116.07</v>
      </c>
      <c r="G15" s="264">
        <f>F15*0.03</f>
        <v>3.4820999999999995</v>
      </c>
      <c r="H15" s="264">
        <v>116.07</v>
      </c>
      <c r="I15" s="428">
        <f>H15*0.03</f>
        <v>3.4820999999999995</v>
      </c>
      <c r="J15" s="362">
        <f>G15-I15</f>
        <v>0</v>
      </c>
      <c r="K15" s="360">
        <f>D15+E15-I15</f>
        <v>0</v>
      </c>
      <c r="L15" s="215">
        <v>0</v>
      </c>
      <c r="M15" s="215">
        <v>0</v>
      </c>
    </row>
    <row r="16" spans="1:13" ht="39.75" customHeight="1">
      <c r="A16" s="215">
        <v>4</v>
      </c>
      <c r="B16" s="211" t="s">
        <v>635</v>
      </c>
      <c r="C16" s="503">
        <v>12.5064</v>
      </c>
      <c r="D16" s="264">
        <v>0</v>
      </c>
      <c r="E16" s="264">
        <v>12.5064</v>
      </c>
      <c r="F16" s="264">
        <v>416.88</v>
      </c>
      <c r="G16" s="264">
        <f>F16*0.03</f>
        <v>12.5064</v>
      </c>
      <c r="H16" s="264">
        <v>416.88</v>
      </c>
      <c r="I16" s="428">
        <f>H16*0.03</f>
        <v>12.5064</v>
      </c>
      <c r="J16" s="362">
        <f>G16-I16</f>
        <v>0</v>
      </c>
      <c r="K16" s="360">
        <f>D16+E16-I16</f>
        <v>0</v>
      </c>
      <c r="L16" s="215">
        <v>0</v>
      </c>
      <c r="M16" s="215">
        <v>0</v>
      </c>
    </row>
    <row r="17" spans="1:13" ht="34.5" customHeight="1">
      <c r="A17" s="216"/>
      <c r="B17" s="211" t="s">
        <v>19</v>
      </c>
      <c r="C17" s="976">
        <f>SUM(C13:C16)</f>
        <v>47.9562</v>
      </c>
      <c r="D17" s="264">
        <v>0</v>
      </c>
      <c r="E17" s="264">
        <f>SUM(E13:E16)</f>
        <v>47.9562</v>
      </c>
      <c r="F17" s="427">
        <f>SUM(F13:F16)</f>
        <v>1598.54</v>
      </c>
      <c r="G17" s="429">
        <f>F17*0.03</f>
        <v>47.956199999999995</v>
      </c>
      <c r="H17" s="427">
        <f>SUM(H13:H16)</f>
        <v>1598.54</v>
      </c>
      <c r="I17" s="429">
        <f>H17*0.03</f>
        <v>47.956199999999995</v>
      </c>
      <c r="J17" s="362">
        <f>G17-I17</f>
        <v>0</v>
      </c>
      <c r="K17" s="361">
        <f>SUM(K13:K16)</f>
        <v>0</v>
      </c>
      <c r="L17" s="211">
        <v>0</v>
      </c>
      <c r="M17" s="211">
        <v>0</v>
      </c>
    </row>
    <row r="18" spans="1:13" s="92" customFormat="1" ht="12">
      <c r="A18" s="2"/>
      <c r="B18" s="2"/>
      <c r="C18" s="2"/>
      <c r="D18" s="2"/>
      <c r="E18" s="2"/>
      <c r="F18" s="2"/>
      <c r="G18" s="2"/>
      <c r="H18" s="2"/>
      <c r="I18" s="2"/>
      <c r="J18" s="166"/>
      <c r="K18" s="2"/>
      <c r="L18" s="2"/>
      <c r="M18" s="2"/>
    </row>
    <row r="19" spans="1:13" s="92" customFormat="1" ht="12.75">
      <c r="A19" s="2"/>
      <c r="B19" s="2"/>
      <c r="C19" s="468"/>
      <c r="D19" s="2"/>
      <c r="E19" s="2"/>
      <c r="F19" s="2"/>
      <c r="G19" s="2"/>
      <c r="H19" s="2"/>
      <c r="I19" s="2"/>
      <c r="J19" s="166"/>
      <c r="K19" s="2"/>
      <c r="L19" s="2"/>
      <c r="M19" s="2"/>
    </row>
    <row r="20" ht="15.75" customHeight="1"/>
    <row r="21" ht="15.75" customHeight="1"/>
    <row r="22" ht="15.75" customHeight="1"/>
    <row r="28" ht="15.75" customHeight="1"/>
    <row r="29" spans="1:13" ht="15.75" customHeight="1">
      <c r="A29" s="617" t="s">
        <v>13</v>
      </c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</row>
    <row r="30" spans="1:13" ht="15.75" customHeight="1">
      <c r="A30" s="617" t="s">
        <v>14</v>
      </c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</row>
    <row r="31" spans="1:13" ht="12.75" customHeight="1">
      <c r="A31" s="617" t="s">
        <v>20</v>
      </c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</row>
    <row r="32" spans="1:14" ht="12.75">
      <c r="A32" s="13" t="s">
        <v>23</v>
      </c>
      <c r="B32" s="13"/>
      <c r="C32" s="13"/>
      <c r="D32" s="13"/>
      <c r="E32" s="13"/>
      <c r="F32" s="13"/>
      <c r="K32" s="24" t="s">
        <v>86</v>
      </c>
      <c r="L32" s="24"/>
      <c r="M32" s="24"/>
      <c r="N32" s="24"/>
    </row>
    <row r="33" ht="12.75">
      <c r="A33" s="13"/>
    </row>
  </sheetData>
  <sheetProtection/>
  <mergeCells count="19">
    <mergeCell ref="A30:M30"/>
    <mergeCell ref="A31:M31"/>
    <mergeCell ref="D9:D11"/>
    <mergeCell ref="E9:E11"/>
    <mergeCell ref="A9:A11"/>
    <mergeCell ref="M9:M11"/>
    <mergeCell ref="L9:L11"/>
    <mergeCell ref="B9:B11"/>
    <mergeCell ref="K9:K11"/>
    <mergeCell ref="A29:M29"/>
    <mergeCell ref="K1:M1"/>
    <mergeCell ref="B3:K3"/>
    <mergeCell ref="B4:K4"/>
    <mergeCell ref="C9:C11"/>
    <mergeCell ref="J9:J11"/>
    <mergeCell ref="L7:M7"/>
    <mergeCell ref="G8:M8"/>
    <mergeCell ref="F9:G10"/>
    <mergeCell ref="H9:I10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110" zoomScaleSheetLayoutView="110" zoomScalePageLayoutView="0" workbookViewId="0" topLeftCell="A46">
      <selection activeCell="C62" sqref="C62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14.57421875" style="0" customWidth="1"/>
  </cols>
  <sheetData>
    <row r="1" spans="1:7" ht="21.75" customHeight="1">
      <c r="A1" s="551" t="s">
        <v>529</v>
      </c>
      <c r="B1" s="551"/>
      <c r="C1" s="551"/>
      <c r="D1" s="551"/>
      <c r="E1" s="40"/>
      <c r="F1" s="40"/>
      <c r="G1" s="40"/>
    </row>
    <row r="2" spans="1:3" ht="12.75">
      <c r="A2" s="4" t="s">
        <v>76</v>
      </c>
      <c r="B2" s="4" t="s">
        <v>550</v>
      </c>
      <c r="C2" s="4" t="s">
        <v>551</v>
      </c>
    </row>
    <row r="3" spans="1:3" ht="12.75">
      <c r="A3" s="9">
        <v>1</v>
      </c>
      <c r="B3" s="190" t="s">
        <v>552</v>
      </c>
      <c r="C3" s="190" t="s">
        <v>860</v>
      </c>
    </row>
    <row r="4" spans="1:3" ht="12.75">
      <c r="A4" s="9">
        <v>2</v>
      </c>
      <c r="B4" s="190" t="s">
        <v>553</v>
      </c>
      <c r="C4" s="190" t="s">
        <v>778</v>
      </c>
    </row>
    <row r="5" spans="1:3" ht="12.75">
      <c r="A5" s="9">
        <v>3</v>
      </c>
      <c r="B5" s="190" t="s">
        <v>690</v>
      </c>
      <c r="C5" s="190" t="s">
        <v>779</v>
      </c>
    </row>
    <row r="6" spans="1:3" ht="12.75">
      <c r="A6" s="9">
        <v>4</v>
      </c>
      <c r="B6" s="190" t="s">
        <v>554</v>
      </c>
      <c r="C6" s="190" t="s">
        <v>780</v>
      </c>
    </row>
    <row r="7" spans="1:3" ht="12.75">
      <c r="A7" s="9">
        <v>5</v>
      </c>
      <c r="B7" s="190" t="s">
        <v>583</v>
      </c>
      <c r="C7" s="190" t="s">
        <v>781</v>
      </c>
    </row>
    <row r="8" spans="1:3" ht="12.75">
      <c r="A8" s="9">
        <v>6</v>
      </c>
      <c r="B8" s="190" t="s">
        <v>584</v>
      </c>
      <c r="C8" s="190" t="s">
        <v>782</v>
      </c>
    </row>
    <row r="9" spans="1:3" ht="12.75">
      <c r="A9" s="9">
        <v>7</v>
      </c>
      <c r="B9" s="190" t="s">
        <v>585</v>
      </c>
      <c r="C9" s="190" t="s">
        <v>783</v>
      </c>
    </row>
    <row r="10" spans="1:3" ht="12.75">
      <c r="A10" s="9">
        <v>8</v>
      </c>
      <c r="B10" s="190" t="s">
        <v>555</v>
      </c>
      <c r="C10" s="190" t="s">
        <v>784</v>
      </c>
    </row>
    <row r="11" spans="1:3" ht="12.75">
      <c r="A11" s="9">
        <v>9</v>
      </c>
      <c r="B11" s="190" t="s">
        <v>586</v>
      </c>
      <c r="C11" s="190" t="s">
        <v>592</v>
      </c>
    </row>
    <row r="12" spans="1:3" ht="12.75">
      <c r="A12" s="9">
        <v>10</v>
      </c>
      <c r="B12" s="190" t="s">
        <v>785</v>
      </c>
      <c r="C12" s="190" t="s">
        <v>786</v>
      </c>
    </row>
    <row r="13" spans="1:3" ht="12.75">
      <c r="A13" s="9">
        <v>11</v>
      </c>
      <c r="B13" s="190" t="s">
        <v>556</v>
      </c>
      <c r="C13" s="190" t="s">
        <v>787</v>
      </c>
    </row>
    <row r="14" spans="1:3" ht="12.75">
      <c r="A14" s="9">
        <v>12</v>
      </c>
      <c r="B14" s="190" t="s">
        <v>587</v>
      </c>
      <c r="C14" s="190" t="s">
        <v>788</v>
      </c>
    </row>
    <row r="15" spans="1:3" ht="12.75">
      <c r="A15" s="9">
        <v>13</v>
      </c>
      <c r="B15" s="190" t="s">
        <v>588</v>
      </c>
      <c r="C15" s="190" t="s">
        <v>789</v>
      </c>
    </row>
    <row r="16" spans="1:3" ht="12.75">
      <c r="A16" s="9">
        <v>14</v>
      </c>
      <c r="B16" s="190" t="s">
        <v>589</v>
      </c>
      <c r="C16" s="190" t="s">
        <v>790</v>
      </c>
    </row>
    <row r="17" spans="1:3" ht="12.75">
      <c r="A17" s="9">
        <v>15</v>
      </c>
      <c r="B17" s="190" t="s">
        <v>593</v>
      </c>
      <c r="C17" s="190" t="s">
        <v>791</v>
      </c>
    </row>
    <row r="18" spans="1:3" ht="12.75">
      <c r="A18" s="9">
        <v>16</v>
      </c>
      <c r="B18" s="190" t="s">
        <v>557</v>
      </c>
      <c r="C18" s="190" t="s">
        <v>792</v>
      </c>
    </row>
    <row r="19" spans="1:3" ht="12.75">
      <c r="A19" s="9">
        <v>17</v>
      </c>
      <c r="B19" s="190" t="s">
        <v>590</v>
      </c>
      <c r="C19" s="190" t="s">
        <v>793</v>
      </c>
    </row>
    <row r="20" spans="1:3" ht="12.75">
      <c r="A20" s="9">
        <v>18</v>
      </c>
      <c r="B20" s="190" t="s">
        <v>591</v>
      </c>
      <c r="C20" s="190" t="s">
        <v>794</v>
      </c>
    </row>
    <row r="21" spans="1:3" ht="12.75">
      <c r="A21" s="9">
        <v>19</v>
      </c>
      <c r="B21" s="190" t="s">
        <v>594</v>
      </c>
      <c r="C21" s="190" t="s">
        <v>795</v>
      </c>
    </row>
    <row r="22" spans="1:3" ht="12.75">
      <c r="A22" s="9">
        <v>20</v>
      </c>
      <c r="B22" s="190" t="s">
        <v>558</v>
      </c>
      <c r="C22" s="190" t="s">
        <v>796</v>
      </c>
    </row>
    <row r="23" spans="1:3" ht="12.75">
      <c r="A23" s="9">
        <v>21</v>
      </c>
      <c r="B23" s="190" t="s">
        <v>595</v>
      </c>
      <c r="C23" s="190" t="s">
        <v>797</v>
      </c>
    </row>
    <row r="24" spans="1:3" ht="12.75">
      <c r="A24" s="9">
        <v>22</v>
      </c>
      <c r="B24" s="190" t="s">
        <v>559</v>
      </c>
      <c r="C24" s="190" t="s">
        <v>596</v>
      </c>
    </row>
    <row r="25" spans="1:3" ht="12.75">
      <c r="A25" s="9">
        <v>23</v>
      </c>
      <c r="B25" s="190" t="s">
        <v>597</v>
      </c>
      <c r="C25" s="190" t="s">
        <v>598</v>
      </c>
    </row>
    <row r="26" spans="1:3" ht="12.75">
      <c r="A26" s="9">
        <v>24</v>
      </c>
      <c r="B26" s="190" t="s">
        <v>560</v>
      </c>
      <c r="C26" s="190" t="s">
        <v>798</v>
      </c>
    </row>
    <row r="27" spans="1:3" ht="12.75">
      <c r="A27" s="9">
        <v>25</v>
      </c>
      <c r="B27" s="190" t="s">
        <v>561</v>
      </c>
      <c r="C27" s="190" t="s">
        <v>799</v>
      </c>
    </row>
    <row r="28" spans="1:3" ht="12.75">
      <c r="A28" s="9">
        <v>26</v>
      </c>
      <c r="B28" s="190" t="s">
        <v>624</v>
      </c>
      <c r="C28" s="190" t="s">
        <v>800</v>
      </c>
    </row>
    <row r="29" spans="1:3" ht="12.75">
      <c r="A29" s="9">
        <v>27</v>
      </c>
      <c r="B29" s="190" t="s">
        <v>691</v>
      </c>
      <c r="C29" s="190" t="s">
        <v>692</v>
      </c>
    </row>
    <row r="30" spans="1:3" ht="12.75">
      <c r="A30" s="9">
        <v>28</v>
      </c>
      <c r="B30" s="190" t="s">
        <v>693</v>
      </c>
      <c r="C30" s="190" t="s">
        <v>614</v>
      </c>
    </row>
    <row r="31" spans="1:3" ht="12.75">
      <c r="A31" s="9">
        <v>29</v>
      </c>
      <c r="B31" s="190" t="s">
        <v>694</v>
      </c>
      <c r="C31" s="190" t="s">
        <v>608</v>
      </c>
    </row>
    <row r="32" spans="1:3" ht="12.75">
      <c r="A32" s="9">
        <v>30</v>
      </c>
      <c r="B32" s="190" t="s">
        <v>801</v>
      </c>
      <c r="C32" s="190" t="s">
        <v>802</v>
      </c>
    </row>
    <row r="33" spans="1:3" ht="12.75">
      <c r="A33" s="9">
        <v>31</v>
      </c>
      <c r="B33" s="190" t="s">
        <v>827</v>
      </c>
      <c r="C33" s="190" t="s">
        <v>828</v>
      </c>
    </row>
    <row r="34" spans="1:3" ht="12.75">
      <c r="A34" s="9">
        <v>32</v>
      </c>
      <c r="B34" s="190" t="s">
        <v>562</v>
      </c>
      <c r="C34" s="190" t="s">
        <v>599</v>
      </c>
    </row>
    <row r="35" spans="1:3" ht="12.75">
      <c r="A35" s="9">
        <v>33</v>
      </c>
      <c r="B35" s="190" t="s">
        <v>600</v>
      </c>
      <c r="C35" s="190" t="s">
        <v>599</v>
      </c>
    </row>
    <row r="36" spans="1:3" ht="12.75">
      <c r="A36" s="9">
        <v>34</v>
      </c>
      <c r="B36" s="190" t="s">
        <v>563</v>
      </c>
      <c r="C36" s="190" t="s">
        <v>601</v>
      </c>
    </row>
    <row r="37" spans="1:3" ht="12.75">
      <c r="A37" s="9">
        <v>35</v>
      </c>
      <c r="B37" s="190" t="s">
        <v>602</v>
      </c>
      <c r="C37" s="190" t="s">
        <v>603</v>
      </c>
    </row>
    <row r="38" spans="1:3" ht="12.75">
      <c r="A38" s="9">
        <v>36</v>
      </c>
      <c r="B38" s="190" t="s">
        <v>564</v>
      </c>
      <c r="C38" s="190" t="s">
        <v>609</v>
      </c>
    </row>
    <row r="39" spans="1:3" ht="12.75">
      <c r="A39" s="9">
        <v>37</v>
      </c>
      <c r="B39" s="190" t="s">
        <v>565</v>
      </c>
      <c r="C39" s="190" t="s">
        <v>615</v>
      </c>
    </row>
    <row r="40" spans="1:3" ht="12.75">
      <c r="A40" s="9">
        <v>38</v>
      </c>
      <c r="B40" s="190" t="s">
        <v>604</v>
      </c>
      <c r="C40" s="190" t="s">
        <v>616</v>
      </c>
    </row>
    <row r="41" spans="1:3" ht="12.75">
      <c r="A41" s="9">
        <v>39</v>
      </c>
      <c r="B41" s="190" t="s">
        <v>566</v>
      </c>
      <c r="C41" s="190" t="s">
        <v>617</v>
      </c>
    </row>
    <row r="42" spans="1:3" ht="12.75">
      <c r="A42" s="9">
        <v>40</v>
      </c>
      <c r="B42" s="190" t="s">
        <v>567</v>
      </c>
      <c r="C42" s="190" t="s">
        <v>618</v>
      </c>
    </row>
    <row r="43" spans="1:3" ht="12.75">
      <c r="A43" s="9">
        <v>41</v>
      </c>
      <c r="B43" s="190" t="s">
        <v>568</v>
      </c>
      <c r="C43" s="190" t="s">
        <v>803</v>
      </c>
    </row>
    <row r="44" spans="1:3" ht="12.75">
      <c r="A44" s="9">
        <v>42</v>
      </c>
      <c r="B44" s="190" t="s">
        <v>569</v>
      </c>
      <c r="C44" s="190" t="s">
        <v>605</v>
      </c>
    </row>
    <row r="45" spans="1:3" ht="12.75">
      <c r="A45" s="9">
        <v>43</v>
      </c>
      <c r="B45" s="190" t="s">
        <v>570</v>
      </c>
      <c r="C45" s="190" t="s">
        <v>606</v>
      </c>
    </row>
    <row r="46" spans="1:3" ht="12.75">
      <c r="A46" s="9">
        <v>44</v>
      </c>
      <c r="B46" s="190" t="s">
        <v>571</v>
      </c>
      <c r="C46" s="190" t="s">
        <v>607</v>
      </c>
    </row>
    <row r="47" spans="1:3" ht="12.75">
      <c r="A47" s="9">
        <v>45</v>
      </c>
      <c r="B47" s="190" t="s">
        <v>572</v>
      </c>
      <c r="C47" s="190" t="s">
        <v>611</v>
      </c>
    </row>
    <row r="48" spans="1:3" ht="12.75">
      <c r="A48" s="9">
        <v>46</v>
      </c>
      <c r="B48" s="190" t="s">
        <v>573</v>
      </c>
      <c r="C48" s="190" t="s">
        <v>612</v>
      </c>
    </row>
    <row r="49" spans="1:3" ht="12.75">
      <c r="A49" s="9">
        <v>47</v>
      </c>
      <c r="B49" s="190" t="s">
        <v>574</v>
      </c>
      <c r="C49" s="190" t="s">
        <v>804</v>
      </c>
    </row>
    <row r="50" spans="1:3" ht="12.75">
      <c r="A50" s="9">
        <v>48</v>
      </c>
      <c r="B50" s="190" t="s">
        <v>695</v>
      </c>
      <c r="C50" s="190" t="s">
        <v>805</v>
      </c>
    </row>
    <row r="51" spans="1:3" ht="12.75">
      <c r="A51" s="9">
        <v>49</v>
      </c>
      <c r="B51" s="190" t="s">
        <v>575</v>
      </c>
      <c r="C51" s="190" t="s">
        <v>610</v>
      </c>
    </row>
    <row r="52" spans="1:3" ht="12.75">
      <c r="A52" s="9">
        <v>50</v>
      </c>
      <c r="B52" s="190" t="s">
        <v>576</v>
      </c>
      <c r="C52" s="190" t="s">
        <v>613</v>
      </c>
    </row>
    <row r="53" spans="1:3" ht="12.75">
      <c r="A53" s="9">
        <v>51</v>
      </c>
      <c r="B53" s="190" t="s">
        <v>577</v>
      </c>
      <c r="C53" s="190" t="s">
        <v>696</v>
      </c>
    </row>
    <row r="54" spans="1:3" ht="12.75">
      <c r="A54" s="9">
        <v>52</v>
      </c>
      <c r="B54" s="190" t="s">
        <v>697</v>
      </c>
      <c r="C54" s="190" t="s">
        <v>806</v>
      </c>
    </row>
    <row r="55" spans="1:3" ht="12.75">
      <c r="A55" s="9">
        <v>53</v>
      </c>
      <c r="B55" s="190" t="s">
        <v>578</v>
      </c>
      <c r="C55" s="190" t="s">
        <v>807</v>
      </c>
    </row>
    <row r="56" spans="1:3" ht="12.75">
      <c r="A56" s="9">
        <v>54</v>
      </c>
      <c r="B56" s="190" t="s">
        <v>698</v>
      </c>
      <c r="C56" s="190" t="s">
        <v>808</v>
      </c>
    </row>
    <row r="57" spans="1:3" ht="12.75">
      <c r="A57" s="9">
        <v>55</v>
      </c>
      <c r="B57" s="190" t="s">
        <v>699</v>
      </c>
      <c r="C57" s="190" t="s">
        <v>809</v>
      </c>
    </row>
    <row r="58" spans="1:3" ht="12.75">
      <c r="A58" s="9">
        <v>56</v>
      </c>
      <c r="B58" s="190" t="s">
        <v>700</v>
      </c>
      <c r="C58" s="190" t="s">
        <v>810</v>
      </c>
    </row>
    <row r="59" spans="1:3" ht="12.75">
      <c r="A59" s="9">
        <v>57</v>
      </c>
      <c r="B59" s="190" t="s">
        <v>701</v>
      </c>
      <c r="C59" s="190" t="s">
        <v>811</v>
      </c>
    </row>
    <row r="60" spans="1:3" ht="12.75">
      <c r="A60" s="9">
        <v>58</v>
      </c>
      <c r="B60" s="190" t="s">
        <v>579</v>
      </c>
      <c r="C60" s="190" t="s">
        <v>812</v>
      </c>
    </row>
    <row r="61" spans="1:3" ht="12.75">
      <c r="A61" s="9">
        <v>59</v>
      </c>
      <c r="B61" s="190" t="s">
        <v>702</v>
      </c>
      <c r="C61" s="190" t="s">
        <v>813</v>
      </c>
    </row>
    <row r="62" spans="1:3" ht="12.75">
      <c r="A62" s="9">
        <v>60</v>
      </c>
      <c r="B62" s="190" t="s">
        <v>580</v>
      </c>
      <c r="C62" s="190" t="s">
        <v>814</v>
      </c>
    </row>
    <row r="63" spans="1:3" ht="12.75">
      <c r="A63" s="9">
        <v>61</v>
      </c>
      <c r="B63" s="190" t="s">
        <v>581</v>
      </c>
      <c r="C63" s="190" t="s">
        <v>815</v>
      </c>
    </row>
    <row r="64" spans="1:3" ht="12.75">
      <c r="A64" s="9">
        <v>62</v>
      </c>
      <c r="B64" s="190" t="s">
        <v>582</v>
      </c>
      <c r="C64" s="190" t="s">
        <v>816</v>
      </c>
    </row>
    <row r="65" spans="1:3" ht="12.75">
      <c r="A65" s="9">
        <v>63</v>
      </c>
      <c r="B65" s="190" t="s">
        <v>817</v>
      </c>
      <c r="C65" s="190" t="s">
        <v>818</v>
      </c>
    </row>
    <row r="66" spans="1:3" ht="12.75">
      <c r="A66" s="358">
        <v>64</v>
      </c>
      <c r="B66" s="190" t="s">
        <v>819</v>
      </c>
      <c r="C66" s="190" t="s">
        <v>791</v>
      </c>
    </row>
  </sheetData>
  <sheetProtection/>
  <mergeCells count="1">
    <mergeCell ref="A1:D1"/>
  </mergeCells>
  <printOptions horizontalCentered="1"/>
  <pageMargins left="0.708661417322835" right="0.708661417322835" top="0.354330708661417" bottom="0.748031496062992" header="0.31496062992126" footer="0.31496062992126"/>
  <pageSetup horizontalDpi="600" verticalDpi="6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90" zoomScaleSheetLayoutView="90" zoomScalePageLayoutView="0" workbookViewId="0" topLeftCell="A9">
      <selection activeCell="E13" sqref="E13:J14"/>
    </sheetView>
  </sheetViews>
  <sheetFormatPr defaultColWidth="9.140625" defaultRowHeight="12.75"/>
  <cols>
    <col min="1" max="1" width="6.140625" style="2" customWidth="1"/>
    <col min="2" max="2" width="8.421875" style="2" customWidth="1"/>
    <col min="3" max="3" width="10.57421875" style="2" customWidth="1"/>
    <col min="4" max="4" width="9.8515625" style="2" customWidth="1"/>
    <col min="5" max="5" width="8.7109375" style="2" customWidth="1"/>
    <col min="6" max="6" width="10.8515625" style="2" customWidth="1"/>
    <col min="7" max="7" width="15.8515625" style="2" customWidth="1"/>
    <col min="8" max="8" width="12.421875" style="2" customWidth="1"/>
    <col min="9" max="9" width="12.140625" style="2" customWidth="1"/>
    <col min="10" max="10" width="9.00390625" style="2" customWidth="1"/>
    <col min="11" max="11" width="12.00390625" style="2" customWidth="1"/>
    <col min="12" max="12" width="17.28125" style="2" customWidth="1"/>
    <col min="13" max="13" width="9.140625" style="2" hidden="1" customWidth="1"/>
    <col min="14" max="16384" width="9.140625" style="2" customWidth="1"/>
  </cols>
  <sheetData>
    <row r="1" spans="4:16" ht="15">
      <c r="D1" s="13"/>
      <c r="E1" s="13"/>
      <c r="F1" s="13"/>
      <c r="G1" s="13"/>
      <c r="H1" s="13"/>
      <c r="I1" s="13"/>
      <c r="J1" s="13"/>
      <c r="K1" s="13"/>
      <c r="L1" s="700" t="s">
        <v>470</v>
      </c>
      <c r="M1" s="700"/>
      <c r="N1" s="700"/>
      <c r="O1" s="32"/>
      <c r="P1" s="32"/>
    </row>
    <row r="2" spans="1:16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34"/>
      <c r="N2" s="34"/>
      <c r="O2" s="34"/>
      <c r="P2" s="34"/>
    </row>
    <row r="3" spans="1:16" ht="19.5">
      <c r="A3" s="704" t="s">
        <v>841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33"/>
      <c r="N3" s="33"/>
      <c r="O3" s="33"/>
      <c r="P3" s="33"/>
    </row>
    <row r="4" ht="10.5" customHeight="1"/>
    <row r="5" spans="1:12" ht="19.5" customHeight="1">
      <c r="A5" s="669" t="s">
        <v>882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</row>
    <row r="6" spans="1:12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579" t="s">
        <v>643</v>
      </c>
      <c r="B7" s="579"/>
      <c r="F7" s="697" t="s">
        <v>21</v>
      </c>
      <c r="G7" s="697"/>
      <c r="H7" s="697"/>
      <c r="I7" s="697"/>
      <c r="J7" s="697"/>
      <c r="K7" s="697"/>
      <c r="L7" s="697"/>
    </row>
    <row r="8" spans="1:12" ht="12.75">
      <c r="A8" s="13"/>
      <c r="F8" s="14"/>
      <c r="G8" s="69"/>
      <c r="H8" s="69"/>
      <c r="I8" s="696" t="s">
        <v>883</v>
      </c>
      <c r="J8" s="696"/>
      <c r="K8" s="696"/>
      <c r="L8" s="696"/>
    </row>
    <row r="9" spans="1:18" s="13" customFormat="1" ht="12.75">
      <c r="A9" s="553" t="s">
        <v>2</v>
      </c>
      <c r="B9" s="553" t="s">
        <v>3</v>
      </c>
      <c r="C9" s="560" t="s">
        <v>27</v>
      </c>
      <c r="D9" s="596"/>
      <c r="E9" s="596"/>
      <c r="F9" s="596"/>
      <c r="G9" s="596"/>
      <c r="H9" s="560" t="s">
        <v>28</v>
      </c>
      <c r="I9" s="596"/>
      <c r="J9" s="596"/>
      <c r="K9" s="596"/>
      <c r="L9" s="596"/>
      <c r="R9" s="23"/>
    </row>
    <row r="10" spans="1:12" s="13" customFormat="1" ht="77.25" customHeight="1">
      <c r="A10" s="553"/>
      <c r="B10" s="553"/>
      <c r="C10" s="6" t="s">
        <v>915</v>
      </c>
      <c r="D10" s="6" t="s">
        <v>748</v>
      </c>
      <c r="E10" s="6" t="s">
        <v>72</v>
      </c>
      <c r="F10" s="6" t="s">
        <v>73</v>
      </c>
      <c r="G10" s="6" t="s">
        <v>394</v>
      </c>
      <c r="H10" s="6" t="s">
        <v>915</v>
      </c>
      <c r="I10" s="6" t="s">
        <v>917</v>
      </c>
      <c r="J10" s="6" t="s">
        <v>72</v>
      </c>
      <c r="K10" s="6" t="s">
        <v>73</v>
      </c>
      <c r="L10" s="6" t="s">
        <v>395</v>
      </c>
    </row>
    <row r="11" spans="1:12" s="13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42" customHeight="1">
      <c r="A12" s="15">
        <v>1</v>
      </c>
      <c r="B12" s="16"/>
      <c r="C12" s="16"/>
      <c r="D12" s="16"/>
      <c r="E12" s="16"/>
      <c r="F12" s="16"/>
      <c r="G12" s="16"/>
      <c r="H12" s="21"/>
      <c r="I12" s="21"/>
      <c r="J12" s="21"/>
      <c r="K12" s="21"/>
      <c r="L12" s="16"/>
    </row>
    <row r="13" spans="1:12" ht="39.75" customHeight="1">
      <c r="A13" s="15">
        <v>2</v>
      </c>
      <c r="B13" s="16"/>
      <c r="C13" s="16"/>
      <c r="D13" s="16"/>
      <c r="E13" s="710" t="s">
        <v>641</v>
      </c>
      <c r="F13" s="711"/>
      <c r="G13" s="711"/>
      <c r="H13" s="711"/>
      <c r="I13" s="711"/>
      <c r="J13" s="712"/>
      <c r="K13" s="21"/>
      <c r="L13" s="16"/>
    </row>
    <row r="14" spans="1:12" ht="42" customHeight="1">
      <c r="A14" s="15">
        <v>3</v>
      </c>
      <c r="B14" s="16"/>
      <c r="C14" s="16"/>
      <c r="D14" s="16"/>
      <c r="E14" s="713"/>
      <c r="F14" s="714"/>
      <c r="G14" s="714"/>
      <c r="H14" s="714"/>
      <c r="I14" s="714"/>
      <c r="J14" s="715"/>
      <c r="K14" s="21"/>
      <c r="L14" s="16"/>
    </row>
    <row r="15" spans="1:12" ht="43.5" customHeight="1">
      <c r="A15" s="15">
        <v>4</v>
      </c>
      <c r="B15" s="16"/>
      <c r="C15" s="16"/>
      <c r="D15" s="16"/>
      <c r="E15" s="16"/>
      <c r="F15" s="16"/>
      <c r="G15" s="16"/>
      <c r="H15" s="21"/>
      <c r="I15" s="21"/>
      <c r="J15" s="21"/>
      <c r="K15" s="21"/>
      <c r="L15" s="16"/>
    </row>
    <row r="16" spans="1:12" ht="45.75" customHeight="1">
      <c r="A16" s="4" t="s">
        <v>19</v>
      </c>
      <c r="B16" s="16"/>
      <c r="C16" s="16"/>
      <c r="D16" s="16"/>
      <c r="E16" s="16"/>
      <c r="F16" s="16"/>
      <c r="G16" s="16"/>
      <c r="H16" s="21"/>
      <c r="I16" s="21"/>
      <c r="J16" s="21"/>
      <c r="K16" s="21"/>
      <c r="L16" s="16"/>
    </row>
    <row r="17" ht="12">
      <c r="A17" s="2" t="s">
        <v>393</v>
      </c>
    </row>
    <row r="18" ht="12">
      <c r="A18" s="18" t="s">
        <v>392</v>
      </c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617" t="s">
        <v>13</v>
      </c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</row>
    <row r="28" spans="1:12" ht="12.75">
      <c r="A28" s="617" t="s">
        <v>14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</row>
    <row r="29" spans="1:12" ht="12.75">
      <c r="A29" s="617" t="s">
        <v>20</v>
      </c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</row>
    <row r="30" spans="1:12" ht="12.75">
      <c r="A30" s="13" t="s">
        <v>23</v>
      </c>
      <c r="B30" s="13"/>
      <c r="C30" s="13"/>
      <c r="D30" s="13"/>
      <c r="E30" s="13"/>
      <c r="F30" s="13"/>
      <c r="J30" s="24" t="s">
        <v>86</v>
      </c>
      <c r="K30" s="24"/>
      <c r="L30" s="24"/>
    </row>
    <row r="31" ht="15.75" customHeight="1">
      <c r="A31" s="13"/>
    </row>
    <row r="32" spans="1:12" ht="15.75" customHeight="1">
      <c r="A32" s="588"/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</row>
    <row r="33" ht="14.25" customHeight="1"/>
    <row r="36" ht="12.75">
      <c r="M36" s="24"/>
    </row>
  </sheetData>
  <sheetProtection/>
  <mergeCells count="16">
    <mergeCell ref="A28:L28"/>
    <mergeCell ref="A29:L29"/>
    <mergeCell ref="A32:L32"/>
    <mergeCell ref="I8:L8"/>
    <mergeCell ref="A9:A10"/>
    <mergeCell ref="B9:B10"/>
    <mergeCell ref="C9:G9"/>
    <mergeCell ref="H9:L9"/>
    <mergeCell ref="A27:L27"/>
    <mergeCell ref="E13:J14"/>
    <mergeCell ref="L1:N1"/>
    <mergeCell ref="A2:L2"/>
    <mergeCell ref="A3:L3"/>
    <mergeCell ref="A5:L5"/>
    <mergeCell ref="A7:B7"/>
    <mergeCell ref="F7:L7"/>
  </mergeCells>
  <printOptions horizontalCentered="1"/>
  <pageMargins left="0.708661417322835" right="0.708661417322835" top="1.02362204724409" bottom="0.19687500000000002" header="0.31496062992126" footer="0.31496062992126"/>
  <pageSetup horizontalDpi="600" verticalDpi="600" orientation="landscape" paperSize="9" scale="85" r:id="rId1"/>
  <rowBreaks count="1" manualBreakCount="1">
    <brk id="3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="90" zoomScaleSheetLayoutView="90" zoomScalePageLayoutView="0" workbookViewId="0" topLeftCell="A11">
      <selection activeCell="K20" sqref="K20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8.7109375" style="2" customWidth="1"/>
    <col min="4" max="4" width="9.7109375" style="2" customWidth="1"/>
    <col min="5" max="5" width="9.28125" style="2" customWidth="1"/>
    <col min="6" max="7" width="7.28125" style="2" customWidth="1"/>
    <col min="8" max="8" width="8.140625" style="2" customWidth="1"/>
    <col min="9" max="9" width="9.28125" style="2" customWidth="1"/>
    <col min="10" max="10" width="9.140625" style="2" customWidth="1"/>
    <col min="11" max="11" width="8.28125" style="2" customWidth="1"/>
    <col min="12" max="12" width="10.421875" style="2" customWidth="1"/>
    <col min="13" max="13" width="7.8515625" style="2" customWidth="1"/>
    <col min="14" max="14" width="8.421875" style="2" customWidth="1"/>
    <col min="15" max="15" width="13.140625" style="2" customWidth="1"/>
    <col min="16" max="16" width="11.8515625" style="2" customWidth="1"/>
    <col min="17" max="17" width="11.7109375" style="2" customWidth="1"/>
    <col min="18" max="16384" width="9.140625" style="2" customWidth="1"/>
  </cols>
  <sheetData>
    <row r="1" spans="8:21" ht="15">
      <c r="H1" s="13"/>
      <c r="I1" s="13"/>
      <c r="J1" s="13"/>
      <c r="K1" s="13"/>
      <c r="L1" s="13"/>
      <c r="M1" s="13"/>
      <c r="N1" s="13"/>
      <c r="O1" s="13"/>
      <c r="P1" s="664" t="s">
        <v>66</v>
      </c>
      <c r="Q1" s="664"/>
      <c r="T1" s="32"/>
      <c r="U1" s="32"/>
    </row>
    <row r="2" spans="1:21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34"/>
      <c r="S2" s="34"/>
      <c r="T2" s="34"/>
      <c r="U2" s="34"/>
    </row>
    <row r="3" spans="1:21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33"/>
      <c r="S3" s="33"/>
      <c r="T3" s="33"/>
      <c r="U3" s="33"/>
    </row>
    <row r="4" ht="10.5" customHeight="1"/>
    <row r="5" spans="1:16" ht="12">
      <c r="A5" s="18"/>
      <c r="B5" s="18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8"/>
      <c r="O5" s="18"/>
      <c r="P5" s="19"/>
    </row>
    <row r="6" spans="1:17" ht="18" customHeight="1">
      <c r="A6" s="669" t="s">
        <v>884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</row>
    <row r="7" ht="9.75" customHeight="1"/>
    <row r="8" ht="0.75" customHeight="1"/>
    <row r="9" spans="1:17" ht="12.75">
      <c r="A9" s="579" t="s">
        <v>643</v>
      </c>
      <c r="B9" s="579"/>
      <c r="Q9" s="14" t="s">
        <v>25</v>
      </c>
    </row>
    <row r="10" spans="1:17" ht="15">
      <c r="A10" s="12"/>
      <c r="N10" s="718" t="s">
        <v>880</v>
      </c>
      <c r="O10" s="718"/>
      <c r="P10" s="718"/>
      <c r="Q10" s="718"/>
    </row>
    <row r="11" spans="1:17" ht="28.5" customHeight="1">
      <c r="A11" s="662" t="s">
        <v>2</v>
      </c>
      <c r="B11" s="662" t="s">
        <v>3</v>
      </c>
      <c r="C11" s="553" t="s">
        <v>918</v>
      </c>
      <c r="D11" s="553"/>
      <c r="E11" s="553"/>
      <c r="F11" s="553" t="s">
        <v>919</v>
      </c>
      <c r="G11" s="553"/>
      <c r="H11" s="553"/>
      <c r="I11" s="613" t="s">
        <v>402</v>
      </c>
      <c r="J11" s="614"/>
      <c r="K11" s="716"/>
      <c r="L11" s="613" t="s">
        <v>97</v>
      </c>
      <c r="M11" s="614"/>
      <c r="N11" s="716"/>
      <c r="O11" s="671" t="s">
        <v>920</v>
      </c>
      <c r="P11" s="672"/>
      <c r="Q11" s="673"/>
    </row>
    <row r="12" spans="1:17" ht="39.75" customHeight="1">
      <c r="A12" s="663"/>
      <c r="B12" s="663"/>
      <c r="C12" s="6" t="s">
        <v>117</v>
      </c>
      <c r="D12" s="6" t="s">
        <v>398</v>
      </c>
      <c r="E12" s="28" t="s">
        <v>19</v>
      </c>
      <c r="F12" s="6" t="s">
        <v>117</v>
      </c>
      <c r="G12" s="6" t="s">
        <v>399</v>
      </c>
      <c r="H12" s="28" t="s">
        <v>19</v>
      </c>
      <c r="I12" s="6" t="s">
        <v>117</v>
      </c>
      <c r="J12" s="6" t="s">
        <v>399</v>
      </c>
      <c r="K12" s="28" t="s">
        <v>19</v>
      </c>
      <c r="L12" s="6" t="s">
        <v>117</v>
      </c>
      <c r="M12" s="6" t="s">
        <v>399</v>
      </c>
      <c r="N12" s="28" t="s">
        <v>19</v>
      </c>
      <c r="O12" s="6" t="s">
        <v>258</v>
      </c>
      <c r="P12" s="6" t="s">
        <v>400</v>
      </c>
      <c r="Q12" s="6" t="s">
        <v>118</v>
      </c>
    </row>
    <row r="13" spans="1:17" s="52" customFormat="1" ht="12.7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</row>
    <row r="14" spans="1:18" ht="45" customHeight="1">
      <c r="A14" s="100">
        <v>1</v>
      </c>
      <c r="B14" s="211" t="s">
        <v>632</v>
      </c>
      <c r="C14" s="262">
        <v>113.7</v>
      </c>
      <c r="D14" s="262">
        <v>10.72</v>
      </c>
      <c r="E14" s="262">
        <f>SUM(C14:D14)</f>
        <v>124.42</v>
      </c>
      <c r="F14" s="219">
        <v>55.76</v>
      </c>
      <c r="G14" s="219">
        <v>14.39</v>
      </c>
      <c r="H14" s="219">
        <f>SUM(F14:G14)</f>
        <v>70.15</v>
      </c>
      <c r="I14" s="262">
        <v>57.94</v>
      </c>
      <c r="J14" s="262">
        <v>15.72</v>
      </c>
      <c r="K14" s="219">
        <f>SUM(I14:J14)</f>
        <v>73.66</v>
      </c>
      <c r="L14" s="262">
        <f>223.36*41.34/100</f>
        <v>92.33702400000001</v>
      </c>
      <c r="M14" s="262">
        <v>10.72</v>
      </c>
      <c r="N14" s="262">
        <f>SUM(L14:M14)</f>
        <v>103.05702400000001</v>
      </c>
      <c r="O14" s="340">
        <f aca="true" t="shared" si="0" ref="O14:Q17">F14+I14-L14</f>
        <v>21.362975999999975</v>
      </c>
      <c r="P14" s="100">
        <f t="shared" si="0"/>
        <v>19.39</v>
      </c>
      <c r="Q14" s="340">
        <f t="shared" si="0"/>
        <v>40.75297599999999</v>
      </c>
      <c r="R14" s="357"/>
    </row>
    <row r="15" spans="1:18" ht="46.5" customHeight="1">
      <c r="A15" s="100">
        <v>2</v>
      </c>
      <c r="B15" s="211" t="s">
        <v>633</v>
      </c>
      <c r="C15" s="262">
        <v>67</v>
      </c>
      <c r="D15" s="262">
        <v>6.32</v>
      </c>
      <c r="E15" s="262">
        <f>SUM(C15:D15)</f>
        <v>73.32</v>
      </c>
      <c r="F15" s="219">
        <v>0</v>
      </c>
      <c r="G15" s="219">
        <v>0</v>
      </c>
      <c r="H15" s="219">
        <f>SUM(F15:G15)</f>
        <v>0</v>
      </c>
      <c r="I15" s="262">
        <v>67</v>
      </c>
      <c r="J15" s="262">
        <v>6.32</v>
      </c>
      <c r="K15" s="219">
        <f>SUM(I15:J15)</f>
        <v>73.32</v>
      </c>
      <c r="L15" s="262">
        <f>223.36*24.36/100</f>
        <v>54.410496</v>
      </c>
      <c r="M15" s="262">
        <v>6.32</v>
      </c>
      <c r="N15" s="262">
        <f>SUM(L15:M15)</f>
        <v>60.730496</v>
      </c>
      <c r="O15" s="340">
        <f t="shared" si="0"/>
        <v>12.589503999999998</v>
      </c>
      <c r="P15" s="100">
        <f t="shared" si="0"/>
        <v>0</v>
      </c>
      <c r="Q15" s="340">
        <f t="shared" si="0"/>
        <v>12.589503999999991</v>
      </c>
      <c r="R15" s="357"/>
    </row>
    <row r="16" spans="1:18" ht="42.75" customHeight="1">
      <c r="A16" s="100">
        <v>3</v>
      </c>
      <c r="B16" s="211" t="s">
        <v>634</v>
      </c>
      <c r="C16" s="262">
        <v>21.18</v>
      </c>
      <c r="D16" s="262">
        <v>2</v>
      </c>
      <c r="E16" s="262">
        <f>SUM(C16:D16)</f>
        <v>23.18</v>
      </c>
      <c r="F16" s="219">
        <v>0</v>
      </c>
      <c r="G16" s="219">
        <v>0</v>
      </c>
      <c r="H16" s="219">
        <f>SUM(F16:G16)</f>
        <v>0</v>
      </c>
      <c r="I16" s="262">
        <v>21.18</v>
      </c>
      <c r="J16" s="262">
        <v>2</v>
      </c>
      <c r="K16" s="219">
        <f>SUM(I16:J16)</f>
        <v>23.18</v>
      </c>
      <c r="L16" s="262">
        <f>223.36*7.7/100</f>
        <v>17.19872</v>
      </c>
      <c r="M16" s="262">
        <v>2</v>
      </c>
      <c r="N16" s="262">
        <f>SUM(L16:M16)</f>
        <v>19.19872</v>
      </c>
      <c r="O16" s="340">
        <f t="shared" si="0"/>
        <v>3.981279999999998</v>
      </c>
      <c r="P16" s="100">
        <f t="shared" si="0"/>
        <v>0</v>
      </c>
      <c r="Q16" s="340">
        <f t="shared" si="0"/>
        <v>3.981279999999998</v>
      </c>
      <c r="R16" s="357"/>
    </row>
    <row r="17" spans="1:18" ht="36.75" customHeight="1">
      <c r="A17" s="100">
        <v>4</v>
      </c>
      <c r="B17" s="211" t="s">
        <v>635</v>
      </c>
      <c r="C17" s="262">
        <v>73.16</v>
      </c>
      <c r="D17" s="262">
        <v>6.9</v>
      </c>
      <c r="E17" s="262">
        <f>SUM(C17:D17)</f>
        <v>80.06</v>
      </c>
      <c r="F17" s="219">
        <v>0</v>
      </c>
      <c r="G17" s="219">
        <v>0</v>
      </c>
      <c r="H17" s="219">
        <f>SUM(F17:G17)</f>
        <v>0</v>
      </c>
      <c r="I17" s="262">
        <v>73.16</v>
      </c>
      <c r="J17" s="262">
        <v>6.9</v>
      </c>
      <c r="K17" s="219">
        <f>SUM(I17:J17)</f>
        <v>80.06</v>
      </c>
      <c r="L17" s="262">
        <f>223.36*26.6/100</f>
        <v>59.41376000000001</v>
      </c>
      <c r="M17" s="262">
        <v>6.9</v>
      </c>
      <c r="N17" s="262">
        <f>SUM(L17:M17)</f>
        <v>66.31376000000002</v>
      </c>
      <c r="O17" s="340">
        <f t="shared" si="0"/>
        <v>13.746239999999986</v>
      </c>
      <c r="P17" s="100">
        <f t="shared" si="0"/>
        <v>0</v>
      </c>
      <c r="Q17" s="340">
        <f t="shared" si="0"/>
        <v>13.746239999999986</v>
      </c>
      <c r="R17" s="357"/>
    </row>
    <row r="18" spans="1:18" ht="39.75" customHeight="1">
      <c r="A18" s="4"/>
      <c r="B18" s="4" t="s">
        <v>19</v>
      </c>
      <c r="C18" s="263">
        <f>SUM(C14:C17)</f>
        <v>275.03999999999996</v>
      </c>
      <c r="D18" s="263">
        <f>SUM(D14:D17)</f>
        <v>25.939999999999998</v>
      </c>
      <c r="E18" s="263">
        <f>SUM(C18:D18)</f>
        <v>300.97999999999996</v>
      </c>
      <c r="F18" s="204">
        <f>SUM(F14:F17)</f>
        <v>55.76</v>
      </c>
      <c r="G18" s="204">
        <f>SUM(G14:G17)</f>
        <v>14.39</v>
      </c>
      <c r="H18" s="315">
        <f>SUM(F18:G18)</f>
        <v>70.15</v>
      </c>
      <c r="I18" s="263">
        <f>SUM(I14:I17)</f>
        <v>219.28</v>
      </c>
      <c r="J18" s="263">
        <f>SUM(J14:J17)</f>
        <v>30.939999999999998</v>
      </c>
      <c r="K18" s="315">
        <f>SUM(I18:J18)</f>
        <v>250.22</v>
      </c>
      <c r="L18" s="317">
        <f>SUM(L14:L17)</f>
        <v>223.36</v>
      </c>
      <c r="M18" s="263">
        <f>SUM(M14:M17)</f>
        <v>25.939999999999998</v>
      </c>
      <c r="N18" s="263">
        <f>SUM(L18:M18)</f>
        <v>249.3</v>
      </c>
      <c r="O18" s="106">
        <f>F18+I18-L18</f>
        <v>51.68000000000001</v>
      </c>
      <c r="P18" s="106">
        <f>G18+J18-M18</f>
        <v>19.39</v>
      </c>
      <c r="Q18" s="106">
        <f>SUM(Q14:Q17)</f>
        <v>71.06999999999996</v>
      </c>
      <c r="R18" s="357"/>
    </row>
    <row r="19" spans="1:17" ht="12.75">
      <c r="A19" s="298"/>
      <c r="B19" s="175"/>
      <c r="C19" s="470">
        <v>350.05</v>
      </c>
      <c r="D19" s="471">
        <v>37.31999999999999</v>
      </c>
      <c r="E19" s="472">
        <v>387.37</v>
      </c>
      <c r="F19" s="472">
        <v>0</v>
      </c>
      <c r="G19" s="472">
        <v>0</v>
      </c>
      <c r="H19" s="473">
        <v>0</v>
      </c>
      <c r="I19" s="474">
        <v>350.05</v>
      </c>
      <c r="J19" s="474">
        <v>37.31999999999999</v>
      </c>
      <c r="K19" s="475">
        <v>387.37</v>
      </c>
      <c r="L19" s="473">
        <v>349.35</v>
      </c>
      <c r="M19" s="474">
        <v>37.31999999999999</v>
      </c>
      <c r="N19" s="472">
        <v>386.67</v>
      </c>
      <c r="O19" s="472">
        <v>0.6999999999999957</v>
      </c>
      <c r="P19" s="472">
        <v>0</v>
      </c>
      <c r="Q19" s="472">
        <v>0.6999999999999957</v>
      </c>
    </row>
    <row r="20" spans="1:17" ht="12.75">
      <c r="A20" s="298"/>
      <c r="B20" s="175"/>
      <c r="C20" s="476">
        <f>SUM(C18:C19)</f>
        <v>625.0899999999999</v>
      </c>
      <c r="D20" s="476">
        <f aca="true" t="shared" si="1" ref="D20:Q20">SUM(D18:D19)</f>
        <v>63.25999999999999</v>
      </c>
      <c r="E20" s="476">
        <f t="shared" si="1"/>
        <v>688.3499999999999</v>
      </c>
      <c r="F20" s="476">
        <f t="shared" si="1"/>
        <v>55.76</v>
      </c>
      <c r="G20" s="476">
        <f t="shared" si="1"/>
        <v>14.39</v>
      </c>
      <c r="H20" s="476">
        <f t="shared" si="1"/>
        <v>70.15</v>
      </c>
      <c r="I20" s="476">
        <f t="shared" si="1"/>
        <v>569.33</v>
      </c>
      <c r="J20" s="476">
        <f t="shared" si="1"/>
        <v>68.25999999999999</v>
      </c>
      <c r="K20" s="476">
        <f t="shared" si="1"/>
        <v>637.59</v>
      </c>
      <c r="L20" s="476">
        <f t="shared" si="1"/>
        <v>572.71</v>
      </c>
      <c r="M20" s="476">
        <f t="shared" si="1"/>
        <v>63.25999999999999</v>
      </c>
      <c r="N20" s="476">
        <f t="shared" si="1"/>
        <v>635.97</v>
      </c>
      <c r="O20" s="476">
        <f t="shared" si="1"/>
        <v>52.38</v>
      </c>
      <c r="P20" s="476">
        <f t="shared" si="1"/>
        <v>19.39</v>
      </c>
      <c r="Q20" s="476">
        <f t="shared" si="1"/>
        <v>71.76999999999995</v>
      </c>
    </row>
    <row r="21" spans="1:17" ht="12">
      <c r="A21" s="166" t="s">
        <v>393</v>
      </c>
      <c r="B21" s="166"/>
      <c r="C21" s="166"/>
      <c r="D21" s="379"/>
      <c r="E21" s="166"/>
      <c r="F21" s="258"/>
      <c r="G21" s="166"/>
      <c r="H21" s="166"/>
      <c r="I21" s="276"/>
      <c r="J21" s="379"/>
      <c r="K21" s="276"/>
      <c r="L21" s="258"/>
      <c r="M21" s="276"/>
      <c r="N21" s="478">
        <f>N20/E20</f>
        <v>0.9239049901939422</v>
      </c>
      <c r="O21" s="276"/>
      <c r="P21" s="184"/>
      <c r="Q21" s="166"/>
    </row>
    <row r="22" spans="1:17" ht="12">
      <c r="A22" s="717" t="s">
        <v>396</v>
      </c>
      <c r="B22" s="717"/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</row>
    <row r="23" spans="1:17" ht="12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272"/>
      <c r="O23" s="192"/>
      <c r="P23" s="192"/>
      <c r="Q23" s="192"/>
    </row>
    <row r="24" spans="1:17" ht="12">
      <c r="A24" s="192"/>
      <c r="B24" s="192"/>
      <c r="C24" s="192"/>
      <c r="D24" s="192"/>
      <c r="E24" s="192"/>
      <c r="F24" s="272"/>
      <c r="G24" s="27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ht="12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ht="1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ht="1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ht="12">
      <c r="A28" s="2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2.75">
      <c r="A29" s="13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P29" s="617" t="s">
        <v>13</v>
      </c>
      <c r="Q29" s="617"/>
    </row>
    <row r="30" spans="1:17" ht="12.75">
      <c r="A30" s="617" t="s">
        <v>14</v>
      </c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</row>
    <row r="31" spans="1:17" ht="12.75">
      <c r="A31" s="617" t="s">
        <v>20</v>
      </c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</row>
    <row r="32" spans="1:1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O32" s="24" t="s">
        <v>86</v>
      </c>
      <c r="P32" s="24"/>
      <c r="Q32" s="24"/>
    </row>
    <row r="33" ht="11.25" customHeight="1"/>
    <row r="34" ht="14.25" customHeight="1"/>
    <row r="35" ht="15.75" customHeight="1"/>
    <row r="36" ht="15.75" customHeight="1"/>
    <row r="37" ht="12.75" customHeight="1"/>
    <row r="38" ht="12.75" customHeight="1"/>
    <row r="39" ht="12.75">
      <c r="R39" s="24"/>
    </row>
  </sheetData>
  <sheetProtection/>
  <mergeCells count="17">
    <mergeCell ref="P1:Q1"/>
    <mergeCell ref="A2:Q2"/>
    <mergeCell ref="A3:Q3"/>
    <mergeCell ref="A31:Q31"/>
    <mergeCell ref="N10:Q10"/>
    <mergeCell ref="A6:Q6"/>
    <mergeCell ref="A11:A12"/>
    <mergeCell ref="B11:B12"/>
    <mergeCell ref="I11:K11"/>
    <mergeCell ref="A9:B9"/>
    <mergeCell ref="O11:Q11"/>
    <mergeCell ref="L11:N11"/>
    <mergeCell ref="A30:Q30"/>
    <mergeCell ref="P29:Q29"/>
    <mergeCell ref="C11:E11"/>
    <mergeCell ref="F11:H11"/>
    <mergeCell ref="A22:Q22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view="pageBreakPreview" zoomScale="86" zoomScaleSheetLayoutView="86" zoomScalePageLayoutView="0" workbookViewId="0" topLeftCell="A5">
      <selection activeCell="C17" sqref="C17:Q17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3.7109375" style="2" customWidth="1"/>
    <col min="4" max="4" width="8.140625" style="2" customWidth="1"/>
    <col min="5" max="5" width="9.421875" style="2" customWidth="1"/>
    <col min="6" max="6" width="8.28125" style="2" customWidth="1"/>
    <col min="7" max="7" width="13.140625" style="2" customWidth="1"/>
    <col min="8" max="8" width="8.140625" style="2" customWidth="1"/>
    <col min="9" max="9" width="9.28125" style="2" customWidth="1"/>
    <col min="10" max="10" width="10.00390625" style="2" customWidth="1"/>
    <col min="11" max="11" width="8.421875" style="2" customWidth="1"/>
    <col min="12" max="12" width="13.421875" style="2" customWidth="1"/>
    <col min="13" max="13" width="7.8515625" style="2" customWidth="1"/>
    <col min="14" max="14" width="10.421875" style="2" customWidth="1"/>
    <col min="15" max="15" width="13.7109375" style="2" customWidth="1"/>
    <col min="16" max="16" width="11.8515625" style="2" customWidth="1"/>
    <col min="17" max="17" width="9.7109375" style="2" customWidth="1"/>
    <col min="18" max="16384" width="9.140625" style="2" customWidth="1"/>
  </cols>
  <sheetData>
    <row r="1" spans="8:21" ht="15">
      <c r="H1" s="13"/>
      <c r="I1" s="13"/>
      <c r="J1" s="13"/>
      <c r="K1" s="13"/>
      <c r="L1" s="13"/>
      <c r="M1" s="13"/>
      <c r="N1" s="13"/>
      <c r="O1" s="13"/>
      <c r="P1" s="664" t="s">
        <v>95</v>
      </c>
      <c r="Q1" s="664"/>
      <c r="R1" s="654"/>
      <c r="T1" s="32"/>
      <c r="U1" s="32"/>
    </row>
    <row r="2" spans="1:21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54"/>
      <c r="S2" s="34"/>
      <c r="T2" s="34"/>
      <c r="U2" s="34"/>
    </row>
    <row r="3" spans="1:21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54"/>
      <c r="S3" s="33"/>
      <c r="T3" s="33"/>
      <c r="U3" s="33"/>
    </row>
    <row r="4" ht="10.5" customHeight="1">
      <c r="R4" s="654"/>
    </row>
    <row r="5" spans="1:18" ht="9" customHeight="1">
      <c r="A5" s="18"/>
      <c r="B5" s="18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8"/>
      <c r="O5" s="18"/>
      <c r="P5" s="19"/>
      <c r="R5" s="654"/>
    </row>
    <row r="6" spans="2:18" ht="18" customHeight="1">
      <c r="B6" s="76"/>
      <c r="C6" s="76"/>
      <c r="D6" s="584" t="s">
        <v>885</v>
      </c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R6" s="654"/>
    </row>
    <row r="7" ht="5.25" customHeight="1">
      <c r="R7" s="654"/>
    </row>
    <row r="8" spans="1:18" ht="12.75">
      <c r="A8" s="579" t="s">
        <v>644</v>
      </c>
      <c r="B8" s="579"/>
      <c r="Q8" s="14" t="s">
        <v>25</v>
      </c>
      <c r="R8" s="654"/>
    </row>
    <row r="9" spans="1:18" ht="15">
      <c r="A9" s="12"/>
      <c r="N9" s="719" t="s">
        <v>880</v>
      </c>
      <c r="O9" s="719"/>
      <c r="P9" s="719"/>
      <c r="Q9" s="719"/>
      <c r="R9" s="654"/>
    </row>
    <row r="10" spans="1:18" ht="36.75" customHeight="1">
      <c r="A10" s="662" t="s">
        <v>2</v>
      </c>
      <c r="B10" s="662" t="s">
        <v>3</v>
      </c>
      <c r="C10" s="553" t="s">
        <v>921</v>
      </c>
      <c r="D10" s="553"/>
      <c r="E10" s="553"/>
      <c r="F10" s="553" t="s">
        <v>922</v>
      </c>
      <c r="G10" s="553"/>
      <c r="H10" s="553"/>
      <c r="I10" s="613" t="s">
        <v>402</v>
      </c>
      <c r="J10" s="614"/>
      <c r="K10" s="716"/>
      <c r="L10" s="613" t="s">
        <v>97</v>
      </c>
      <c r="M10" s="614"/>
      <c r="N10" s="716"/>
      <c r="O10" s="560" t="s">
        <v>923</v>
      </c>
      <c r="P10" s="596"/>
      <c r="Q10" s="561"/>
      <c r="R10" s="654"/>
    </row>
    <row r="11" spans="1:17" ht="39.75" customHeight="1">
      <c r="A11" s="663"/>
      <c r="B11" s="663"/>
      <c r="C11" s="6" t="s">
        <v>117</v>
      </c>
      <c r="D11" s="6" t="s">
        <v>398</v>
      </c>
      <c r="E11" s="28" t="s">
        <v>19</v>
      </c>
      <c r="F11" s="6" t="s">
        <v>117</v>
      </c>
      <c r="G11" s="6" t="s">
        <v>399</v>
      </c>
      <c r="H11" s="28" t="s">
        <v>19</v>
      </c>
      <c r="I11" s="6" t="s">
        <v>117</v>
      </c>
      <c r="J11" s="6" t="s">
        <v>399</v>
      </c>
      <c r="K11" s="28" t="s">
        <v>19</v>
      </c>
      <c r="L11" s="6" t="s">
        <v>117</v>
      </c>
      <c r="M11" s="6" t="s">
        <v>399</v>
      </c>
      <c r="N11" s="28" t="s">
        <v>19</v>
      </c>
      <c r="O11" s="6" t="s">
        <v>258</v>
      </c>
      <c r="P11" s="6" t="s">
        <v>400</v>
      </c>
      <c r="Q11" s="6" t="s">
        <v>118</v>
      </c>
    </row>
    <row r="12" spans="1:17" s="52" customFormat="1" ht="12.7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</row>
    <row r="13" spans="1:18" ht="40.5" customHeight="1">
      <c r="A13" s="15">
        <v>1</v>
      </c>
      <c r="B13" s="211" t="s">
        <v>632</v>
      </c>
      <c r="C13" s="262">
        <v>147.02</v>
      </c>
      <c r="D13" s="262">
        <v>15.68</v>
      </c>
      <c r="E13" s="262">
        <f>SUM(C13:D13)</f>
        <v>162.70000000000002</v>
      </c>
      <c r="F13" s="219">
        <v>0</v>
      </c>
      <c r="G13" s="219">
        <v>0</v>
      </c>
      <c r="H13" s="219">
        <f>SUM(F13:G13)</f>
        <v>0</v>
      </c>
      <c r="I13" s="262">
        <v>147.02</v>
      </c>
      <c r="J13" s="262">
        <v>15.68</v>
      </c>
      <c r="K13" s="219">
        <f>SUM(I13:J13)</f>
        <v>162.70000000000002</v>
      </c>
      <c r="L13" s="262">
        <f>349.35*42/100</f>
        <v>146.727</v>
      </c>
      <c r="M13" s="262">
        <v>15.68</v>
      </c>
      <c r="N13" s="334">
        <f>SUM(L13:M13)</f>
        <v>162.407</v>
      </c>
      <c r="O13" s="334">
        <f>I13-L13</f>
        <v>0.29300000000000637</v>
      </c>
      <c r="P13" s="334">
        <f aca="true" t="shared" si="0" ref="P13:Q16">G13+J13-M13</f>
        <v>0</v>
      </c>
      <c r="Q13" s="334">
        <f t="shared" si="0"/>
        <v>0.29300000000000637</v>
      </c>
      <c r="R13" s="357"/>
    </row>
    <row r="14" spans="1:18" ht="46.5" customHeight="1">
      <c r="A14" s="15">
        <v>2</v>
      </c>
      <c r="B14" s="211" t="s">
        <v>633</v>
      </c>
      <c r="C14" s="262">
        <v>87.52</v>
      </c>
      <c r="D14" s="262">
        <v>9.33</v>
      </c>
      <c r="E14" s="262">
        <f>SUM(C14:D14)</f>
        <v>96.85</v>
      </c>
      <c r="F14" s="219">
        <v>0</v>
      </c>
      <c r="G14" s="219">
        <v>0</v>
      </c>
      <c r="H14" s="219">
        <f>SUM(F14:G14)</f>
        <v>0</v>
      </c>
      <c r="I14" s="262">
        <v>87.52</v>
      </c>
      <c r="J14" s="262">
        <v>9.33</v>
      </c>
      <c r="K14" s="219">
        <f>SUM(I14:J14)</f>
        <v>96.85</v>
      </c>
      <c r="L14" s="262">
        <f>349.35*25/100</f>
        <v>87.3375</v>
      </c>
      <c r="M14" s="262">
        <v>9.33</v>
      </c>
      <c r="N14" s="334">
        <f>SUM(L14:M14)</f>
        <v>96.6675</v>
      </c>
      <c r="O14" s="334">
        <f>I14-L14</f>
        <v>0.18249999999999034</v>
      </c>
      <c r="P14" s="334">
        <f t="shared" si="0"/>
        <v>0</v>
      </c>
      <c r="Q14" s="334">
        <f t="shared" si="0"/>
        <v>0.18249999999999034</v>
      </c>
      <c r="R14" s="357"/>
    </row>
    <row r="15" spans="1:18" ht="42.75" customHeight="1">
      <c r="A15" s="15">
        <v>3</v>
      </c>
      <c r="B15" s="211" t="s">
        <v>634</v>
      </c>
      <c r="C15" s="262">
        <v>24.5</v>
      </c>
      <c r="D15" s="262">
        <v>2.61</v>
      </c>
      <c r="E15" s="262">
        <f>SUM(C15:D15)</f>
        <v>27.11</v>
      </c>
      <c r="F15" s="219">
        <v>0</v>
      </c>
      <c r="G15" s="219">
        <v>0</v>
      </c>
      <c r="H15" s="219">
        <f>SUM(F15:G15)</f>
        <v>0</v>
      </c>
      <c r="I15" s="262">
        <v>24.5</v>
      </c>
      <c r="J15" s="262">
        <v>2.61</v>
      </c>
      <c r="K15" s="219">
        <f>SUM(I15:J15)</f>
        <v>27.11</v>
      </c>
      <c r="L15" s="262">
        <f>349.35*7/100</f>
        <v>24.454500000000003</v>
      </c>
      <c r="M15" s="262">
        <v>2.61</v>
      </c>
      <c r="N15" s="334">
        <f>SUM(L15:M15)</f>
        <v>27.064500000000002</v>
      </c>
      <c r="O15" s="334">
        <f>I15-L15</f>
        <v>0.04549999999999699</v>
      </c>
      <c r="P15" s="334">
        <f t="shared" si="0"/>
        <v>0</v>
      </c>
      <c r="Q15" s="334">
        <f t="shared" si="0"/>
        <v>0.04549999999999699</v>
      </c>
      <c r="R15" s="357"/>
    </row>
    <row r="16" spans="1:18" ht="46.5" customHeight="1">
      <c r="A16" s="15">
        <v>4</v>
      </c>
      <c r="B16" s="211" t="s">
        <v>635</v>
      </c>
      <c r="C16" s="262">
        <v>91.01</v>
      </c>
      <c r="D16" s="262">
        <v>9.7</v>
      </c>
      <c r="E16" s="262">
        <f>SUM(C16:D16)</f>
        <v>100.71000000000001</v>
      </c>
      <c r="F16" s="219">
        <v>0</v>
      </c>
      <c r="G16" s="219">
        <v>0</v>
      </c>
      <c r="H16" s="219">
        <f>SUM(F16:G16)</f>
        <v>0</v>
      </c>
      <c r="I16" s="262">
        <v>91.01</v>
      </c>
      <c r="J16" s="262">
        <v>9.7</v>
      </c>
      <c r="K16" s="219">
        <f>SUM(I16:J16)</f>
        <v>100.71000000000001</v>
      </c>
      <c r="L16" s="262">
        <f>349.35*26/100</f>
        <v>90.831</v>
      </c>
      <c r="M16" s="262">
        <v>9.7</v>
      </c>
      <c r="N16" s="334">
        <f>SUM(L16:M16)</f>
        <v>100.531</v>
      </c>
      <c r="O16" s="334">
        <f>I16-L16</f>
        <v>0.17900000000000205</v>
      </c>
      <c r="P16" s="334">
        <f t="shared" si="0"/>
        <v>0</v>
      </c>
      <c r="Q16" s="334">
        <f t="shared" si="0"/>
        <v>0.17900000000000205</v>
      </c>
      <c r="R16" s="357"/>
    </row>
    <row r="17" spans="1:18" ht="29.25" customHeight="1">
      <c r="A17" s="4"/>
      <c r="B17" s="106" t="s">
        <v>19</v>
      </c>
      <c r="C17" s="263">
        <f>SUM(C13:C16)</f>
        <v>350.05</v>
      </c>
      <c r="D17" s="263">
        <f>SUM(D13:D16)</f>
        <v>37.31999999999999</v>
      </c>
      <c r="E17" s="317">
        <f>SUM(C17:D17)</f>
        <v>387.37</v>
      </c>
      <c r="F17" s="315">
        <f aca="true" t="shared" si="1" ref="F17:M17">SUM(F13:F16)</f>
        <v>0</v>
      </c>
      <c r="G17" s="315">
        <f t="shared" si="1"/>
        <v>0</v>
      </c>
      <c r="H17" s="315">
        <f t="shared" si="1"/>
        <v>0</v>
      </c>
      <c r="I17" s="263">
        <f t="shared" si="1"/>
        <v>350.05</v>
      </c>
      <c r="J17" s="263">
        <f t="shared" si="1"/>
        <v>37.31999999999999</v>
      </c>
      <c r="K17" s="315">
        <f t="shared" si="1"/>
        <v>387.37</v>
      </c>
      <c r="L17" s="317">
        <f t="shared" si="1"/>
        <v>349.35</v>
      </c>
      <c r="M17" s="317">
        <f t="shared" si="1"/>
        <v>37.31999999999999</v>
      </c>
      <c r="N17" s="293">
        <f>SUM(L17:M17)</f>
        <v>386.67</v>
      </c>
      <c r="O17" s="334">
        <f>SUM(O13:O16)</f>
        <v>0.6999999999999957</v>
      </c>
      <c r="P17" s="292">
        <f>G17+J17-M17</f>
        <v>0</v>
      </c>
      <c r="Q17" s="293">
        <f>SUM(Q13:Q16)</f>
        <v>0.6999999999999957</v>
      </c>
      <c r="R17" s="355"/>
    </row>
    <row r="18" spans="1:13" ht="12.75">
      <c r="A18" s="3"/>
      <c r="B18" s="13"/>
      <c r="C18" s="430"/>
      <c r="D18" s="175"/>
      <c r="E18" s="348"/>
      <c r="F18" s="363"/>
      <c r="G18" s="347"/>
      <c r="H18" s="347"/>
      <c r="I18" s="349"/>
      <c r="J18" s="364"/>
      <c r="K18" s="347"/>
      <c r="L18" s="365"/>
      <c r="M18" s="366"/>
    </row>
    <row r="19" spans="1:15" ht="12">
      <c r="A19" s="2" t="s">
        <v>393</v>
      </c>
      <c r="F19" s="252"/>
      <c r="I19" s="391"/>
      <c r="J19" s="253"/>
      <c r="K19" s="252"/>
      <c r="L19" s="166"/>
      <c r="N19" s="258"/>
      <c r="O19" s="253"/>
    </row>
    <row r="20" spans="1:17" ht="12">
      <c r="A20" s="720" t="s">
        <v>397</v>
      </c>
      <c r="B20" s="720"/>
      <c r="C20" s="720"/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</row>
    <row r="21" spans="1:17" ht="12">
      <c r="A21" s="2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2">
      <c r="A22" s="25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2">
      <c r="A23" s="25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">
      <c r="A24" s="2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2">
      <c r="A25" s="2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2.75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P26" s="617" t="s">
        <v>13</v>
      </c>
      <c r="Q26" s="617"/>
    </row>
    <row r="27" spans="1:17" ht="12.75">
      <c r="A27" s="617" t="s">
        <v>14</v>
      </c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</row>
    <row r="28" spans="1:17" ht="12.75">
      <c r="A28" s="617" t="s">
        <v>20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</row>
    <row r="29" spans="1:1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O29" s="585" t="s">
        <v>86</v>
      </c>
      <c r="P29" s="585"/>
      <c r="Q29" s="585"/>
    </row>
    <row r="31" ht="11.25" customHeight="1"/>
    <row r="32" ht="14.25" customHeight="1"/>
    <row r="33" ht="15.75" customHeight="1"/>
    <row r="34" ht="15.75" customHeight="1"/>
    <row r="35" ht="12.75" customHeight="1"/>
    <row r="36" ht="12.75" customHeight="1"/>
    <row r="37" ht="12.75">
      <c r="R37" s="13"/>
    </row>
  </sheetData>
  <sheetProtection/>
  <mergeCells count="19">
    <mergeCell ref="O29:Q29"/>
    <mergeCell ref="R1:R10"/>
    <mergeCell ref="A28:Q28"/>
    <mergeCell ref="I10:K10"/>
    <mergeCell ref="L10:N10"/>
    <mergeCell ref="O10:Q10"/>
    <mergeCell ref="P26:Q26"/>
    <mergeCell ref="A27:Q27"/>
    <mergeCell ref="A8:B8"/>
    <mergeCell ref="A20:Q20"/>
    <mergeCell ref="P1:Q1"/>
    <mergeCell ref="A2:Q2"/>
    <mergeCell ref="A3:Q3"/>
    <mergeCell ref="N9:Q9"/>
    <mergeCell ref="D6:O6"/>
    <mergeCell ref="A10:A11"/>
    <mergeCell ref="B10:B11"/>
    <mergeCell ref="C10:E10"/>
    <mergeCell ref="F10:H10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SheetLayoutView="70" zoomScalePageLayoutView="0" workbookViewId="0" topLeftCell="A11">
      <selection activeCell="S20" sqref="S20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10" max="11" width="9.140625" style="0" customWidth="1"/>
    <col min="19" max="19" width="11.5742187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19" ht="15">
      <c r="Q1" s="723" t="s">
        <v>67</v>
      </c>
      <c r="R1" s="723"/>
      <c r="S1" s="723"/>
    </row>
    <row r="3" spans="1:17" ht="15">
      <c r="A3" s="667" t="s">
        <v>0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</row>
    <row r="4" spans="1:20" ht="19.5">
      <c r="A4" s="674" t="s">
        <v>841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</row>
    <row r="5" spans="1:17" ht="15">
      <c r="A5" s="724" t="s">
        <v>654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</row>
    <row r="6" spans="1:2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U6" s="13"/>
    </row>
    <row r="8" spans="1:19" ht="15">
      <c r="A8" s="584" t="s">
        <v>255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</row>
    <row r="9" spans="1:21" ht="12" customHeight="1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697" t="s">
        <v>245</v>
      </c>
      <c r="Q9" s="697"/>
      <c r="R9" s="697"/>
      <c r="S9" s="697"/>
      <c r="U9" s="29"/>
    </row>
    <row r="10" spans="16:22" ht="12.75">
      <c r="P10" s="719" t="s">
        <v>880</v>
      </c>
      <c r="Q10" s="719"/>
      <c r="R10" s="719"/>
      <c r="S10" s="719"/>
      <c r="T10" s="719"/>
      <c r="U10" s="719"/>
      <c r="V10" s="719"/>
    </row>
    <row r="11" spans="1:22" ht="28.5" customHeight="1">
      <c r="A11" s="721" t="s">
        <v>26</v>
      </c>
      <c r="B11" s="662" t="s">
        <v>225</v>
      </c>
      <c r="C11" s="662" t="s">
        <v>401</v>
      </c>
      <c r="D11" s="662" t="s">
        <v>517</v>
      </c>
      <c r="E11" s="675" t="s">
        <v>924</v>
      </c>
      <c r="F11" s="675"/>
      <c r="G11" s="675"/>
      <c r="H11" s="560" t="s">
        <v>922</v>
      </c>
      <c r="I11" s="596"/>
      <c r="J11" s="561"/>
      <c r="K11" s="613" t="s">
        <v>403</v>
      </c>
      <c r="L11" s="614"/>
      <c r="M11" s="716"/>
      <c r="N11" s="586" t="s">
        <v>174</v>
      </c>
      <c r="O11" s="725"/>
      <c r="P11" s="587"/>
      <c r="Q11" s="553" t="s">
        <v>928</v>
      </c>
      <c r="R11" s="553"/>
      <c r="S11" s="553"/>
      <c r="T11" s="662" t="s">
        <v>272</v>
      </c>
      <c r="U11" s="662" t="s">
        <v>457</v>
      </c>
      <c r="V11" s="662" t="s">
        <v>404</v>
      </c>
    </row>
    <row r="12" spans="1:22" ht="64.5" customHeight="1">
      <c r="A12" s="722"/>
      <c r="B12" s="663"/>
      <c r="C12" s="663"/>
      <c r="D12" s="663"/>
      <c r="E12" s="6" t="s">
        <v>196</v>
      </c>
      <c r="F12" s="6" t="s">
        <v>226</v>
      </c>
      <c r="G12" s="6" t="s">
        <v>19</v>
      </c>
      <c r="H12" s="6" t="s">
        <v>196</v>
      </c>
      <c r="I12" s="6" t="s">
        <v>226</v>
      </c>
      <c r="J12" s="6" t="s">
        <v>19</v>
      </c>
      <c r="K12" s="6" t="s">
        <v>196</v>
      </c>
      <c r="L12" s="6" t="s">
        <v>226</v>
      </c>
      <c r="M12" s="6" t="s">
        <v>19</v>
      </c>
      <c r="N12" s="6" t="s">
        <v>196</v>
      </c>
      <c r="O12" s="6" t="s">
        <v>226</v>
      </c>
      <c r="P12" s="6" t="s">
        <v>19</v>
      </c>
      <c r="Q12" s="6" t="s">
        <v>259</v>
      </c>
      <c r="R12" s="6" t="s">
        <v>236</v>
      </c>
      <c r="S12" s="6" t="s">
        <v>237</v>
      </c>
      <c r="T12" s="663"/>
      <c r="U12" s="663"/>
      <c r="V12" s="663"/>
    </row>
    <row r="13" spans="1:22" ht="12">
      <c r="A13" s="100">
        <v>1</v>
      </c>
      <c r="B13" s="73">
        <v>2</v>
      </c>
      <c r="C13" s="9">
        <v>3</v>
      </c>
      <c r="D13" s="73">
        <v>4</v>
      </c>
      <c r="E13" s="73">
        <v>5</v>
      </c>
      <c r="F13" s="9">
        <v>6</v>
      </c>
      <c r="G13" s="73">
        <v>7</v>
      </c>
      <c r="H13" s="73">
        <v>8</v>
      </c>
      <c r="I13" s="9">
        <v>9</v>
      </c>
      <c r="J13" s="73">
        <v>10</v>
      </c>
      <c r="K13" s="73">
        <v>11</v>
      </c>
      <c r="L13" s="9">
        <v>12</v>
      </c>
      <c r="M13" s="73">
        <v>13</v>
      </c>
      <c r="N13" s="73">
        <v>14</v>
      </c>
      <c r="O13" s="9">
        <v>15</v>
      </c>
      <c r="P13" s="73">
        <v>16</v>
      </c>
      <c r="Q13" s="73">
        <v>17</v>
      </c>
      <c r="R13" s="9">
        <v>18</v>
      </c>
      <c r="S13" s="73">
        <v>19</v>
      </c>
      <c r="T13" s="73">
        <v>20</v>
      </c>
      <c r="U13" s="9">
        <v>21</v>
      </c>
      <c r="V13" s="73">
        <v>22</v>
      </c>
    </row>
    <row r="14" spans="1:22" ht="63" customHeight="1">
      <c r="A14" s="100">
        <v>1</v>
      </c>
      <c r="B14" s="211" t="s">
        <v>632</v>
      </c>
      <c r="C14" s="219">
        <v>494</v>
      </c>
      <c r="D14" s="219">
        <v>494</v>
      </c>
      <c r="E14" s="219">
        <f>C14*10*0.009</f>
        <v>44.459999999999994</v>
      </c>
      <c r="F14" s="219">
        <f>C14*10*0.001</f>
        <v>4.94</v>
      </c>
      <c r="G14" s="219">
        <f>SUM(E14:F14)</f>
        <v>49.39999999999999</v>
      </c>
      <c r="H14" s="219">
        <v>4.5</v>
      </c>
      <c r="I14" s="219">
        <v>0</v>
      </c>
      <c r="J14" s="219">
        <f>SUM(H14:I14)</f>
        <v>4.5</v>
      </c>
      <c r="K14" s="219">
        <f>E14-H14</f>
        <v>39.959999999999994</v>
      </c>
      <c r="L14" s="219">
        <f>C14*10*0.001</f>
        <v>4.94</v>
      </c>
      <c r="M14" s="219">
        <f>SUM(K14:L14)</f>
        <v>44.89999999999999</v>
      </c>
      <c r="N14" s="219">
        <f>D14*0.009*10</f>
        <v>44.459999999999994</v>
      </c>
      <c r="O14" s="219">
        <f>D14*10*0.001</f>
        <v>4.94</v>
      </c>
      <c r="P14" s="219">
        <f>SUM(N14:O14)</f>
        <v>49.39999999999999</v>
      </c>
      <c r="Q14" s="219">
        <f aca="true" t="shared" si="0" ref="Q14:S17">H14+K14-N14</f>
        <v>0</v>
      </c>
      <c r="R14" s="219">
        <f t="shared" si="0"/>
        <v>0</v>
      </c>
      <c r="S14" s="219">
        <f t="shared" si="0"/>
        <v>0</v>
      </c>
      <c r="T14" s="219" t="s">
        <v>657</v>
      </c>
      <c r="U14" s="219">
        <v>494</v>
      </c>
      <c r="V14" s="219">
        <v>494</v>
      </c>
    </row>
    <row r="15" spans="1:22" ht="61.5" customHeight="1">
      <c r="A15" s="100">
        <v>2</v>
      </c>
      <c r="B15" s="211" t="s">
        <v>633</v>
      </c>
      <c r="C15" s="219">
        <v>231</v>
      </c>
      <c r="D15" s="219">
        <v>221</v>
      </c>
      <c r="E15" s="219">
        <f>C15*10*0.009</f>
        <v>20.79</v>
      </c>
      <c r="F15" s="219">
        <f>C15*10*0.001</f>
        <v>2.31</v>
      </c>
      <c r="G15" s="219">
        <f>SUM(E15:F15)</f>
        <v>23.099999999999998</v>
      </c>
      <c r="H15" s="219">
        <v>0</v>
      </c>
      <c r="I15" s="219">
        <v>0</v>
      </c>
      <c r="J15" s="219">
        <f>SUM(H15:I15)</f>
        <v>0</v>
      </c>
      <c r="K15" s="219">
        <f>C15*0.009*10</f>
        <v>20.79</v>
      </c>
      <c r="L15" s="219">
        <f>C15*10*0.001</f>
        <v>2.31</v>
      </c>
      <c r="M15" s="219">
        <f>SUM(K15:L15)</f>
        <v>23.099999999999998</v>
      </c>
      <c r="N15" s="219">
        <f>D15*0.009*10</f>
        <v>19.89</v>
      </c>
      <c r="O15" s="219">
        <f>D15*10*0.001</f>
        <v>2.21</v>
      </c>
      <c r="P15" s="219">
        <f>SUM(N15:O15)</f>
        <v>22.1</v>
      </c>
      <c r="Q15" s="219">
        <f t="shared" si="0"/>
        <v>0.8999999999999986</v>
      </c>
      <c r="R15" s="219">
        <f t="shared" si="0"/>
        <v>0.10000000000000009</v>
      </c>
      <c r="S15" s="219">
        <f t="shared" si="0"/>
        <v>0.9999999999999964</v>
      </c>
      <c r="T15" s="219" t="s">
        <v>657</v>
      </c>
      <c r="U15" s="219">
        <v>221</v>
      </c>
      <c r="V15" s="219">
        <v>221</v>
      </c>
    </row>
    <row r="16" spans="1:22" ht="66.75" customHeight="1">
      <c r="A16" s="100">
        <v>3</v>
      </c>
      <c r="B16" s="211" t="s">
        <v>634</v>
      </c>
      <c r="C16" s="219">
        <v>77</v>
      </c>
      <c r="D16" s="219">
        <v>77</v>
      </c>
      <c r="E16" s="219">
        <f>C16*10*0.009</f>
        <v>6.93</v>
      </c>
      <c r="F16" s="219">
        <f>C16*10*0.001</f>
        <v>0.77</v>
      </c>
      <c r="G16" s="219">
        <f>SUM(E16:F16)</f>
        <v>7.699999999999999</v>
      </c>
      <c r="H16" s="219">
        <v>0</v>
      </c>
      <c r="I16" s="219">
        <v>0</v>
      </c>
      <c r="J16" s="219">
        <f>SUM(H16:I16)</f>
        <v>0</v>
      </c>
      <c r="K16" s="219">
        <f>C16*0.009*10</f>
        <v>6.93</v>
      </c>
      <c r="L16" s="219">
        <f>C16*10*0.001</f>
        <v>0.77</v>
      </c>
      <c r="M16" s="219">
        <f>SUM(K16:L16)</f>
        <v>7.699999999999999</v>
      </c>
      <c r="N16" s="219">
        <f>D16*0.009*10</f>
        <v>6.93</v>
      </c>
      <c r="O16" s="219">
        <f>D16*10*0.001</f>
        <v>0.77</v>
      </c>
      <c r="P16" s="219">
        <f>SUM(N16:O16)</f>
        <v>7.699999999999999</v>
      </c>
      <c r="Q16" s="219">
        <f t="shared" si="0"/>
        <v>0</v>
      </c>
      <c r="R16" s="219">
        <f t="shared" si="0"/>
        <v>0</v>
      </c>
      <c r="S16" s="219">
        <f t="shared" si="0"/>
        <v>0</v>
      </c>
      <c r="T16" s="219" t="s">
        <v>657</v>
      </c>
      <c r="U16" s="219">
        <v>77</v>
      </c>
      <c r="V16" s="219">
        <v>77</v>
      </c>
    </row>
    <row r="17" spans="1:22" ht="61.5" customHeight="1">
      <c r="A17" s="100">
        <v>4</v>
      </c>
      <c r="B17" s="211" t="s">
        <v>635</v>
      </c>
      <c r="C17" s="219">
        <v>392</v>
      </c>
      <c r="D17" s="219">
        <v>392</v>
      </c>
      <c r="E17" s="219">
        <f>C17*10*0.009</f>
        <v>35.279999999999994</v>
      </c>
      <c r="F17" s="219">
        <f>C17*10*0.001</f>
        <v>3.92</v>
      </c>
      <c r="G17" s="219">
        <f>SUM(E17:F17)</f>
        <v>39.199999999999996</v>
      </c>
      <c r="H17" s="219">
        <v>0</v>
      </c>
      <c r="I17" s="219">
        <v>0</v>
      </c>
      <c r="J17" s="219">
        <f>SUM(H17:I17)</f>
        <v>0</v>
      </c>
      <c r="K17" s="219">
        <f>C17*0.009*10</f>
        <v>35.279999999999994</v>
      </c>
      <c r="L17" s="219">
        <f>C17*10*0.001</f>
        <v>3.92</v>
      </c>
      <c r="M17" s="219">
        <f>SUM(K17:L17)</f>
        <v>39.199999999999996</v>
      </c>
      <c r="N17" s="219">
        <f>D17*0.009*10</f>
        <v>35.279999999999994</v>
      </c>
      <c r="O17" s="219">
        <f>D17*10*0.001</f>
        <v>3.92</v>
      </c>
      <c r="P17" s="219">
        <f>SUM(N17:O17)</f>
        <v>39.199999999999996</v>
      </c>
      <c r="Q17" s="219">
        <f t="shared" si="0"/>
        <v>0</v>
      </c>
      <c r="R17" s="219">
        <f t="shared" si="0"/>
        <v>0</v>
      </c>
      <c r="S17" s="219">
        <f t="shared" si="0"/>
        <v>0</v>
      </c>
      <c r="T17" s="219" t="s">
        <v>657</v>
      </c>
      <c r="U17" s="219">
        <v>392</v>
      </c>
      <c r="V17" s="219">
        <v>392</v>
      </c>
    </row>
    <row r="18" spans="1:22" ht="60" customHeight="1">
      <c r="A18" s="106"/>
      <c r="B18" s="106" t="s">
        <v>19</v>
      </c>
      <c r="C18" s="204">
        <f>SUM(C14:C17)</f>
        <v>1194</v>
      </c>
      <c r="D18" s="204">
        <f>SUM(D14:D17)</f>
        <v>1184</v>
      </c>
      <c r="E18" s="204">
        <f>SUM(E14:E17)</f>
        <v>107.46000000000001</v>
      </c>
      <c r="F18" s="204">
        <f>SUM(F14:F17)</f>
        <v>11.94</v>
      </c>
      <c r="G18" s="204">
        <f>SUM(E18:F18)</f>
        <v>119.4</v>
      </c>
      <c r="H18" s="204">
        <f>SUM(H14:H17)</f>
        <v>4.5</v>
      </c>
      <c r="I18" s="204">
        <f>SUM(I14:I17)</f>
        <v>0</v>
      </c>
      <c r="J18" s="204">
        <f>SUM(H18:I18)</f>
        <v>4.5</v>
      </c>
      <c r="K18" s="204">
        <f>SUM(K14:K17)</f>
        <v>102.95999999999998</v>
      </c>
      <c r="L18" s="204">
        <f>C18*10*0.001</f>
        <v>11.94</v>
      </c>
      <c r="M18" s="204">
        <f>SUM(K18:L18)</f>
        <v>114.89999999999998</v>
      </c>
      <c r="N18" s="204">
        <f>SUM(N14:N17)</f>
        <v>106.56</v>
      </c>
      <c r="O18" s="427">
        <f>SUM(O14:O17)</f>
        <v>11.84</v>
      </c>
      <c r="P18" s="204">
        <f>SUM(P14:P17)</f>
        <v>118.4</v>
      </c>
      <c r="Q18" s="204">
        <f>H18+K18-N18</f>
        <v>0.8999999999999773</v>
      </c>
      <c r="R18" s="204">
        <f>SUM(R14:R17)</f>
        <v>0.10000000000000009</v>
      </c>
      <c r="S18" s="263">
        <f>J18+M18-P18</f>
        <v>0.9999999999999716</v>
      </c>
      <c r="T18" s="204"/>
      <c r="U18" s="204">
        <f>SUM(U14:U17)</f>
        <v>1184</v>
      </c>
      <c r="V18" s="204">
        <f>SUM(V14:V17)</f>
        <v>1184</v>
      </c>
    </row>
    <row r="19" spans="3:22" ht="16.5" customHeight="1">
      <c r="C19" s="431">
        <v>697</v>
      </c>
      <c r="D19" s="258">
        <v>697</v>
      </c>
      <c r="E19" s="184">
        <v>62.73</v>
      </c>
      <c r="F19" s="184">
        <v>6.97</v>
      </c>
      <c r="G19" s="184">
        <v>69.7</v>
      </c>
      <c r="H19" s="184">
        <v>0</v>
      </c>
      <c r="I19" s="184">
        <v>0</v>
      </c>
      <c r="J19" s="184">
        <v>0</v>
      </c>
      <c r="K19" s="184">
        <v>62.73</v>
      </c>
      <c r="L19" s="432">
        <v>6.97</v>
      </c>
      <c r="M19" s="184">
        <v>69.7</v>
      </c>
      <c r="N19" s="431">
        <v>62.73</v>
      </c>
      <c r="O19" s="184">
        <v>6.97</v>
      </c>
      <c r="P19" s="184">
        <v>69.69999999999999</v>
      </c>
      <c r="Q19" s="184">
        <v>0</v>
      </c>
      <c r="R19" s="184">
        <v>0</v>
      </c>
      <c r="S19" s="184">
        <v>0</v>
      </c>
      <c r="T19" s="184">
        <v>0</v>
      </c>
      <c r="U19" s="184">
        <v>697</v>
      </c>
      <c r="V19" s="184">
        <v>697</v>
      </c>
    </row>
    <row r="20" spans="3:22" ht="12">
      <c r="C20" s="477">
        <f>SUM(C18:C19)</f>
        <v>1891</v>
      </c>
      <c r="D20" s="477">
        <f aca="true" t="shared" si="1" ref="D20:V20">SUM(D18:D19)</f>
        <v>1881</v>
      </c>
      <c r="E20" s="477">
        <f t="shared" si="1"/>
        <v>170.19</v>
      </c>
      <c r="F20" s="477">
        <f t="shared" si="1"/>
        <v>18.91</v>
      </c>
      <c r="G20" s="477">
        <f t="shared" si="1"/>
        <v>189.10000000000002</v>
      </c>
      <c r="H20" s="477">
        <f t="shared" si="1"/>
        <v>4.5</v>
      </c>
      <c r="I20" s="477">
        <f t="shared" si="1"/>
        <v>0</v>
      </c>
      <c r="J20" s="477">
        <f t="shared" si="1"/>
        <v>4.5</v>
      </c>
      <c r="K20" s="477">
        <f t="shared" si="1"/>
        <v>165.68999999999997</v>
      </c>
      <c r="L20" s="477">
        <f t="shared" si="1"/>
        <v>18.91</v>
      </c>
      <c r="M20" s="477">
        <f t="shared" si="1"/>
        <v>184.59999999999997</v>
      </c>
      <c r="N20" s="477">
        <f t="shared" si="1"/>
        <v>169.29</v>
      </c>
      <c r="O20" s="477">
        <f t="shared" si="1"/>
        <v>18.81</v>
      </c>
      <c r="P20" s="477">
        <f t="shared" si="1"/>
        <v>188.1</v>
      </c>
      <c r="Q20" s="477">
        <f t="shared" si="1"/>
        <v>0.8999999999999773</v>
      </c>
      <c r="R20" s="477">
        <f t="shared" si="1"/>
        <v>0.10000000000000009</v>
      </c>
      <c r="S20" s="477">
        <f t="shared" si="1"/>
        <v>0.9999999999999716</v>
      </c>
      <c r="T20" s="477">
        <f t="shared" si="1"/>
        <v>0</v>
      </c>
      <c r="U20" s="477">
        <f t="shared" si="1"/>
        <v>1881</v>
      </c>
      <c r="V20" s="477">
        <f t="shared" si="1"/>
        <v>1881</v>
      </c>
    </row>
    <row r="21" spans="4:16" ht="12">
      <c r="D21" s="252"/>
      <c r="E21" s="252"/>
      <c r="G21" s="220"/>
      <c r="H21" s="184"/>
      <c r="I21" s="184"/>
      <c r="J21" s="184"/>
      <c r="P21" s="507">
        <f>P20/G20</f>
        <v>0.9947117927022738</v>
      </c>
    </row>
    <row r="22" spans="4:5" ht="12">
      <c r="D22" s="252"/>
      <c r="E22" s="252"/>
    </row>
    <row r="23" spans="4:5" ht="12">
      <c r="D23" s="252"/>
      <c r="E23" s="252"/>
    </row>
    <row r="24" spans="4:5" ht="12.75">
      <c r="D24" s="278"/>
      <c r="E24" s="278"/>
    </row>
    <row r="26" ht="16.5" customHeight="1"/>
    <row r="34" spans="1:22" ht="12.75" customHeight="1">
      <c r="A34" s="13" t="s">
        <v>12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"/>
      <c r="O34" s="2"/>
      <c r="P34" s="617" t="s">
        <v>13</v>
      </c>
      <c r="Q34" s="617"/>
      <c r="R34" s="617"/>
      <c r="S34" s="617"/>
      <c r="T34" s="617"/>
      <c r="U34" s="617"/>
      <c r="V34" s="617"/>
    </row>
    <row r="35" spans="1:22" ht="12.75" customHeight="1">
      <c r="A35" s="617" t="s">
        <v>14</v>
      </c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</row>
    <row r="36" spans="1:22" ht="12.75" customHeight="1">
      <c r="A36" s="617" t="s">
        <v>20</v>
      </c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</row>
    <row r="37" spans="15:22" ht="12.75">
      <c r="O37" s="585" t="s">
        <v>86</v>
      </c>
      <c r="P37" s="585"/>
      <c r="Q37" s="585"/>
      <c r="R37" s="585"/>
      <c r="S37" s="585"/>
      <c r="T37" s="585"/>
      <c r="U37" s="585"/>
      <c r="V37" s="585"/>
    </row>
  </sheetData>
  <sheetProtection/>
  <mergeCells count="23">
    <mergeCell ref="Q1:S1"/>
    <mergeCell ref="A3:Q3"/>
    <mergeCell ref="A5:Q5"/>
    <mergeCell ref="A8:S8"/>
    <mergeCell ref="P9:S9"/>
    <mergeCell ref="D11:D12"/>
    <mergeCell ref="P10:V10"/>
    <mergeCell ref="N11:P11"/>
    <mergeCell ref="K11:M11"/>
    <mergeCell ref="A4:T4"/>
    <mergeCell ref="O37:V37"/>
    <mergeCell ref="H11:J11"/>
    <mergeCell ref="Q11:S11"/>
    <mergeCell ref="T11:T12"/>
    <mergeCell ref="V11:V12"/>
    <mergeCell ref="E11:G11"/>
    <mergeCell ref="B11:B12"/>
    <mergeCell ref="P34:V34"/>
    <mergeCell ref="A35:V35"/>
    <mergeCell ref="A36:V36"/>
    <mergeCell ref="A11:A12"/>
    <mergeCell ref="U11:U12"/>
    <mergeCell ref="C11:C12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66" zoomScaleSheetLayoutView="66" zoomScalePageLayoutView="0" workbookViewId="0" topLeftCell="A8">
      <selection activeCell="C17" sqref="C17:V17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19" ht="15">
      <c r="Q1" s="723" t="s">
        <v>227</v>
      </c>
      <c r="R1" s="723"/>
      <c r="S1" s="723"/>
    </row>
    <row r="3" spans="1:17" ht="15">
      <c r="A3" s="667" t="s">
        <v>0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</row>
    <row r="4" spans="1:21" ht="19.5">
      <c r="A4" s="674" t="s">
        <v>841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</row>
    <row r="5" spans="1:17" ht="15">
      <c r="A5" s="724" t="s">
        <v>655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</row>
    <row r="6" spans="1:2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U6" s="13"/>
    </row>
    <row r="7" spans="1:19" ht="15">
      <c r="A7" s="584" t="s">
        <v>471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</row>
    <row r="8" spans="1:21" ht="15">
      <c r="A8" s="3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697" t="s">
        <v>245</v>
      </c>
      <c r="Q8" s="697"/>
      <c r="R8" s="697"/>
      <c r="S8" s="697"/>
      <c r="U8" s="29"/>
    </row>
    <row r="9" spans="16:22" ht="12.75">
      <c r="P9" s="719" t="s">
        <v>880</v>
      </c>
      <c r="Q9" s="719"/>
      <c r="R9" s="719"/>
      <c r="S9" s="719"/>
      <c r="T9" s="719"/>
      <c r="U9" s="719"/>
      <c r="V9" s="719"/>
    </row>
    <row r="10" spans="1:22" ht="43.5" customHeight="1">
      <c r="A10" s="721" t="s">
        <v>26</v>
      </c>
      <c r="B10" s="662" t="s">
        <v>225</v>
      </c>
      <c r="C10" s="662" t="s">
        <v>401</v>
      </c>
      <c r="D10" s="662" t="s">
        <v>518</v>
      </c>
      <c r="E10" s="675" t="s">
        <v>924</v>
      </c>
      <c r="F10" s="675"/>
      <c r="G10" s="675"/>
      <c r="H10" s="560" t="s">
        <v>922</v>
      </c>
      <c r="I10" s="596"/>
      <c r="J10" s="561"/>
      <c r="K10" s="613" t="s">
        <v>403</v>
      </c>
      <c r="L10" s="614"/>
      <c r="M10" s="716"/>
      <c r="N10" s="586" t="s">
        <v>174</v>
      </c>
      <c r="O10" s="725"/>
      <c r="P10" s="587"/>
      <c r="Q10" s="553" t="s">
        <v>928</v>
      </c>
      <c r="R10" s="553"/>
      <c r="S10" s="553"/>
      <c r="T10" s="662" t="s">
        <v>272</v>
      </c>
      <c r="U10" s="662" t="s">
        <v>457</v>
      </c>
      <c r="V10" s="662" t="s">
        <v>404</v>
      </c>
    </row>
    <row r="11" spans="1:22" ht="56.25" customHeight="1">
      <c r="A11" s="722"/>
      <c r="B11" s="663"/>
      <c r="C11" s="663"/>
      <c r="D11" s="663"/>
      <c r="E11" s="6" t="s">
        <v>196</v>
      </c>
      <c r="F11" s="6" t="s">
        <v>226</v>
      </c>
      <c r="G11" s="6" t="s">
        <v>19</v>
      </c>
      <c r="H11" s="6" t="s">
        <v>196</v>
      </c>
      <c r="I11" s="6" t="s">
        <v>226</v>
      </c>
      <c r="J11" s="6" t="s">
        <v>19</v>
      </c>
      <c r="K11" s="6" t="s">
        <v>196</v>
      </c>
      <c r="L11" s="6" t="s">
        <v>226</v>
      </c>
      <c r="M11" s="6" t="s">
        <v>19</v>
      </c>
      <c r="N11" s="6" t="s">
        <v>196</v>
      </c>
      <c r="O11" s="6" t="s">
        <v>226</v>
      </c>
      <c r="P11" s="6" t="s">
        <v>19</v>
      </c>
      <c r="Q11" s="6" t="s">
        <v>259</v>
      </c>
      <c r="R11" s="6" t="s">
        <v>236</v>
      </c>
      <c r="S11" s="6" t="s">
        <v>237</v>
      </c>
      <c r="T11" s="663"/>
      <c r="U11" s="663"/>
      <c r="V11" s="663"/>
    </row>
    <row r="12" spans="1:22" ht="12">
      <c r="A12" s="100">
        <v>1</v>
      </c>
      <c r="B12" s="73">
        <v>2</v>
      </c>
      <c r="C12" s="9">
        <v>3</v>
      </c>
      <c r="D12" s="100">
        <v>4</v>
      </c>
      <c r="E12" s="73">
        <v>5</v>
      </c>
      <c r="F12" s="9">
        <v>6</v>
      </c>
      <c r="G12" s="100">
        <v>7</v>
      </c>
      <c r="H12" s="73">
        <v>8</v>
      </c>
      <c r="I12" s="9">
        <v>9</v>
      </c>
      <c r="J12" s="100">
        <v>10</v>
      </c>
      <c r="K12" s="73">
        <v>11</v>
      </c>
      <c r="L12" s="9">
        <v>12</v>
      </c>
      <c r="M12" s="100">
        <v>13</v>
      </c>
      <c r="N12" s="73">
        <v>14</v>
      </c>
      <c r="O12" s="9">
        <v>15</v>
      </c>
      <c r="P12" s="100">
        <v>16</v>
      </c>
      <c r="Q12" s="73">
        <v>17</v>
      </c>
      <c r="R12" s="9">
        <v>18</v>
      </c>
      <c r="S12" s="100">
        <v>19</v>
      </c>
      <c r="T12" s="73">
        <v>20</v>
      </c>
      <c r="U12" s="100">
        <v>21</v>
      </c>
      <c r="V12" s="73">
        <v>22</v>
      </c>
    </row>
    <row r="13" spans="1:22" ht="51.75" customHeight="1">
      <c r="A13" s="100">
        <v>1</v>
      </c>
      <c r="B13" s="211" t="s">
        <v>632</v>
      </c>
      <c r="C13" s="219">
        <v>229</v>
      </c>
      <c r="D13" s="219">
        <v>229</v>
      </c>
      <c r="E13" s="219">
        <f>C13*10*0.009</f>
        <v>20.61</v>
      </c>
      <c r="F13" s="219">
        <f>C13*10*0.001</f>
        <v>2.29</v>
      </c>
      <c r="G13" s="219">
        <f>SUM(E13:F13)</f>
        <v>22.9</v>
      </c>
      <c r="H13" s="219">
        <v>0</v>
      </c>
      <c r="I13" s="219">
        <v>0</v>
      </c>
      <c r="J13" s="219">
        <f>SUM(H13:I13)</f>
        <v>0</v>
      </c>
      <c r="K13" s="219">
        <f>C13*10*0.009</f>
        <v>20.61</v>
      </c>
      <c r="L13" s="219">
        <v>2.29</v>
      </c>
      <c r="M13" s="219">
        <f>SUM(K13:L13)</f>
        <v>22.9</v>
      </c>
      <c r="N13" s="219">
        <v>20.61</v>
      </c>
      <c r="O13" s="219">
        <f>D13*10*0.001</f>
        <v>2.29</v>
      </c>
      <c r="P13" s="219">
        <f>SUM(N13:O13)</f>
        <v>22.9</v>
      </c>
      <c r="Q13" s="219">
        <f aca="true" t="shared" si="0" ref="Q13:S16">H13+K13-N13</f>
        <v>0</v>
      </c>
      <c r="R13" s="219">
        <f t="shared" si="0"/>
        <v>0</v>
      </c>
      <c r="S13" s="219">
        <f t="shared" si="0"/>
        <v>0</v>
      </c>
      <c r="T13" s="325" t="s">
        <v>657</v>
      </c>
      <c r="U13" s="219">
        <v>229</v>
      </c>
      <c r="V13" s="219">
        <v>229</v>
      </c>
    </row>
    <row r="14" spans="1:22" ht="53.25" customHeight="1">
      <c r="A14" s="100">
        <v>2</v>
      </c>
      <c r="B14" s="211" t="s">
        <v>633</v>
      </c>
      <c r="C14" s="219">
        <v>206</v>
      </c>
      <c r="D14" s="219">
        <v>206</v>
      </c>
      <c r="E14" s="219">
        <f>C14*10*0.009</f>
        <v>18.54</v>
      </c>
      <c r="F14" s="219">
        <f>C14*10*0.001</f>
        <v>2.06</v>
      </c>
      <c r="G14" s="219">
        <f>SUM(E14:F14)</f>
        <v>20.599999999999998</v>
      </c>
      <c r="H14" s="219">
        <v>0</v>
      </c>
      <c r="I14" s="219">
        <v>0</v>
      </c>
      <c r="J14" s="219">
        <f>SUM(H14:I14)</f>
        <v>0</v>
      </c>
      <c r="K14" s="219">
        <f>C14*10*0.009</f>
        <v>18.54</v>
      </c>
      <c r="L14" s="219">
        <v>2.06</v>
      </c>
      <c r="M14" s="219">
        <f>SUM(K14:L14)</f>
        <v>20.599999999999998</v>
      </c>
      <c r="N14" s="219">
        <v>18.54</v>
      </c>
      <c r="O14" s="219">
        <f>D14*10*0.001</f>
        <v>2.06</v>
      </c>
      <c r="P14" s="219">
        <f>SUM(N14:O14)</f>
        <v>20.599999999999998</v>
      </c>
      <c r="Q14" s="219">
        <f t="shared" si="0"/>
        <v>0</v>
      </c>
      <c r="R14" s="219">
        <f t="shared" si="0"/>
        <v>0</v>
      </c>
      <c r="S14" s="219">
        <f t="shared" si="0"/>
        <v>0</v>
      </c>
      <c r="T14" s="325" t="s">
        <v>657</v>
      </c>
      <c r="U14" s="219">
        <v>206</v>
      </c>
      <c r="V14" s="219">
        <v>206</v>
      </c>
    </row>
    <row r="15" spans="1:22" ht="56.25" customHeight="1">
      <c r="A15" s="100">
        <v>3</v>
      </c>
      <c r="B15" s="211" t="s">
        <v>634</v>
      </c>
      <c r="C15" s="219">
        <v>83</v>
      </c>
      <c r="D15" s="219">
        <v>83</v>
      </c>
      <c r="E15" s="219">
        <f>C15*10*0.009</f>
        <v>7.47</v>
      </c>
      <c r="F15" s="219">
        <f>C15*10*0.001</f>
        <v>0.8300000000000001</v>
      </c>
      <c r="G15" s="219">
        <f>SUM(E15:F15)</f>
        <v>8.3</v>
      </c>
      <c r="H15" s="219">
        <v>0</v>
      </c>
      <c r="I15" s="219">
        <v>0</v>
      </c>
      <c r="J15" s="219">
        <f>SUM(H15:I15)</f>
        <v>0</v>
      </c>
      <c r="K15" s="219">
        <f>C15*10*0.009</f>
        <v>7.47</v>
      </c>
      <c r="L15" s="219">
        <v>0.83</v>
      </c>
      <c r="M15" s="219">
        <f>SUM(K15:L15)</f>
        <v>8.299999999999999</v>
      </c>
      <c r="N15" s="219">
        <v>7.47</v>
      </c>
      <c r="O15" s="219">
        <f>D15*10*0.001</f>
        <v>0.8300000000000001</v>
      </c>
      <c r="P15" s="219">
        <f>SUM(N15:O15)</f>
        <v>8.3</v>
      </c>
      <c r="Q15" s="219">
        <f t="shared" si="0"/>
        <v>0</v>
      </c>
      <c r="R15" s="219">
        <f t="shared" si="0"/>
        <v>0</v>
      </c>
      <c r="S15" s="219">
        <f t="shared" si="0"/>
        <v>0</v>
      </c>
      <c r="T15" s="325" t="s">
        <v>657</v>
      </c>
      <c r="U15" s="219">
        <v>83</v>
      </c>
      <c r="V15" s="219">
        <v>83</v>
      </c>
    </row>
    <row r="16" spans="1:22" ht="51.75" customHeight="1">
      <c r="A16" s="100">
        <v>4</v>
      </c>
      <c r="B16" s="211" t="s">
        <v>635</v>
      </c>
      <c r="C16" s="219">
        <v>179</v>
      </c>
      <c r="D16" s="219">
        <v>179</v>
      </c>
      <c r="E16" s="219">
        <f>C16*10*0.009</f>
        <v>16.11</v>
      </c>
      <c r="F16" s="219">
        <f>C16*10*0.001</f>
        <v>1.79</v>
      </c>
      <c r="G16" s="219">
        <f>SUM(E16:F16)</f>
        <v>17.9</v>
      </c>
      <c r="H16" s="219">
        <v>0</v>
      </c>
      <c r="I16" s="219">
        <v>0</v>
      </c>
      <c r="J16" s="219">
        <f>SUM(H16:I16)</f>
        <v>0</v>
      </c>
      <c r="K16" s="219">
        <f>C16*10*0.009</f>
        <v>16.11</v>
      </c>
      <c r="L16" s="219">
        <v>1.79</v>
      </c>
      <c r="M16" s="219">
        <f>SUM(K16:L16)</f>
        <v>17.9</v>
      </c>
      <c r="N16" s="219">
        <v>16.11</v>
      </c>
      <c r="O16" s="219">
        <f>D16*10*0.001</f>
        <v>1.79</v>
      </c>
      <c r="P16" s="219">
        <f>SUM(N16:O16)</f>
        <v>17.9</v>
      </c>
      <c r="Q16" s="219">
        <f t="shared" si="0"/>
        <v>0</v>
      </c>
      <c r="R16" s="219">
        <f t="shared" si="0"/>
        <v>0</v>
      </c>
      <c r="S16" s="219">
        <f t="shared" si="0"/>
        <v>0</v>
      </c>
      <c r="T16" s="325" t="s">
        <v>657</v>
      </c>
      <c r="U16" s="219">
        <v>179</v>
      </c>
      <c r="V16" s="219">
        <v>179</v>
      </c>
    </row>
    <row r="17" spans="1:22" ht="65.25" customHeight="1">
      <c r="A17" s="665" t="s">
        <v>19</v>
      </c>
      <c r="B17" s="666"/>
      <c r="C17" s="204">
        <f>SUM(C13:C16)</f>
        <v>697</v>
      </c>
      <c r="D17" s="204">
        <f>SUM(D13:D16)</f>
        <v>697</v>
      </c>
      <c r="E17" s="204">
        <f>SUM(E13:E16)</f>
        <v>62.73</v>
      </c>
      <c r="F17" s="204">
        <f>SUM(F13:F16)</f>
        <v>6.97</v>
      </c>
      <c r="G17" s="204">
        <f>SUM(E17:F17)</f>
        <v>69.7</v>
      </c>
      <c r="H17" s="204">
        <f>SUM(H13:H16)</f>
        <v>0</v>
      </c>
      <c r="I17" s="204">
        <f>SUM(I13:I16)</f>
        <v>0</v>
      </c>
      <c r="J17" s="204">
        <f>SUM(H17:I17)</f>
        <v>0</v>
      </c>
      <c r="K17" s="219">
        <f>SUM(K13:K16)</f>
        <v>62.73</v>
      </c>
      <c r="L17" s="204">
        <f>SUM(L13:L16)</f>
        <v>6.97</v>
      </c>
      <c r="M17" s="204">
        <f>SUM(K17:L17)</f>
        <v>69.7</v>
      </c>
      <c r="N17" s="204">
        <f aca="true" t="shared" si="1" ref="N17:S17">SUM(N13:N16)</f>
        <v>62.73</v>
      </c>
      <c r="O17" s="204">
        <f t="shared" si="1"/>
        <v>6.97</v>
      </c>
      <c r="P17" s="204">
        <f t="shared" si="1"/>
        <v>69.69999999999999</v>
      </c>
      <c r="Q17" s="204">
        <f t="shared" si="1"/>
        <v>0</v>
      </c>
      <c r="R17" s="204">
        <f t="shared" si="1"/>
        <v>0</v>
      </c>
      <c r="S17" s="204">
        <f t="shared" si="1"/>
        <v>0</v>
      </c>
      <c r="T17" s="204">
        <v>0</v>
      </c>
      <c r="U17" s="204">
        <f>SUM(U13:U16)</f>
        <v>697</v>
      </c>
      <c r="V17" s="204">
        <f>SUM(V13:V16)</f>
        <v>697</v>
      </c>
    </row>
    <row r="18" ht="12.75">
      <c r="A18" s="13"/>
    </row>
    <row r="19" spans="1:10" ht="12.75">
      <c r="A19" s="13"/>
      <c r="J19" s="253"/>
    </row>
    <row r="20" ht="12.75">
      <c r="A20" s="13"/>
    </row>
    <row r="21" ht="12.75">
      <c r="A21" s="13"/>
    </row>
    <row r="22" ht="12.75">
      <c r="A22" s="13"/>
    </row>
    <row r="23" ht="16.5" customHeight="1">
      <c r="A23" s="13"/>
    </row>
    <row r="24" ht="12.75">
      <c r="A24" s="13"/>
    </row>
    <row r="25" ht="12.75">
      <c r="A25" s="13"/>
    </row>
    <row r="26" ht="16.5" customHeight="1">
      <c r="A26" s="13"/>
    </row>
    <row r="27" ht="12.75">
      <c r="A27" s="13"/>
    </row>
    <row r="28" ht="12.75">
      <c r="A28" s="13"/>
    </row>
    <row r="33" spans="1:22" ht="12.75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"/>
      <c r="O33" s="2"/>
      <c r="P33" s="617" t="s">
        <v>13</v>
      </c>
      <c r="Q33" s="617"/>
      <c r="R33" s="617"/>
      <c r="S33" s="617"/>
      <c r="T33" s="617"/>
      <c r="U33" s="617"/>
      <c r="V33" s="617"/>
    </row>
    <row r="34" spans="1:22" ht="12.75" customHeight="1">
      <c r="A34" s="617" t="s">
        <v>14</v>
      </c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</row>
    <row r="35" spans="1:22" ht="12.75" customHeight="1">
      <c r="A35" s="617" t="s">
        <v>20</v>
      </c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</row>
    <row r="36" spans="15:17" ht="12.75">
      <c r="O36" s="585" t="s">
        <v>86</v>
      </c>
      <c r="P36" s="585"/>
      <c r="Q36" s="585"/>
    </row>
  </sheetData>
  <sheetProtection/>
  <mergeCells count="24">
    <mergeCell ref="P9:V9"/>
    <mergeCell ref="Q1:S1"/>
    <mergeCell ref="A3:Q3"/>
    <mergeCell ref="A5:Q5"/>
    <mergeCell ref="A7:S7"/>
    <mergeCell ref="P8:S8"/>
    <mergeCell ref="A4:U4"/>
    <mergeCell ref="O36:Q36"/>
    <mergeCell ref="U10:U11"/>
    <mergeCell ref="P33:V33"/>
    <mergeCell ref="A34:V34"/>
    <mergeCell ref="A35:V35"/>
    <mergeCell ref="A10:A11"/>
    <mergeCell ref="B10:B11"/>
    <mergeCell ref="C10:C11"/>
    <mergeCell ref="D10:D11"/>
    <mergeCell ref="E10:G10"/>
    <mergeCell ref="A17:B17"/>
    <mergeCell ref="K10:M10"/>
    <mergeCell ref="N10:P10"/>
    <mergeCell ref="Q10:S10"/>
    <mergeCell ref="T10:T11"/>
    <mergeCell ref="V10:V11"/>
    <mergeCell ref="H10:J10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view="pageBreakPreview" zoomScaleSheetLayoutView="100" zoomScalePageLayoutView="0" workbookViewId="0" topLeftCell="A12">
      <selection activeCell="C21" sqref="C21"/>
    </sheetView>
  </sheetViews>
  <sheetFormatPr defaultColWidth="9.140625" defaultRowHeight="12.75"/>
  <cols>
    <col min="1" max="1" width="9.140625" style="2" customWidth="1"/>
    <col min="2" max="3" width="19.28125" style="2" customWidth="1"/>
    <col min="4" max="4" width="17.8515625" style="2" customWidth="1"/>
    <col min="5" max="6" width="22.57421875" style="2" customWidth="1"/>
    <col min="7" max="7" width="19.421875" style="2" customWidth="1"/>
    <col min="8" max="8" width="30.140625" style="2" customWidth="1"/>
    <col min="9" max="16384" width="9.140625" style="2" customWidth="1"/>
  </cols>
  <sheetData>
    <row r="1" spans="8:9" ht="15">
      <c r="H1" s="30" t="s">
        <v>68</v>
      </c>
      <c r="I1" s="32"/>
    </row>
    <row r="2" spans="1:9" ht="15">
      <c r="A2" s="667" t="s">
        <v>0</v>
      </c>
      <c r="B2" s="667"/>
      <c r="C2" s="667"/>
      <c r="D2" s="667"/>
      <c r="E2" s="667"/>
      <c r="F2" s="667"/>
      <c r="G2" s="667"/>
      <c r="H2" s="667"/>
      <c r="I2" s="34"/>
    </row>
    <row r="3" spans="1:9" ht="19.5">
      <c r="A3" s="674" t="s">
        <v>841</v>
      </c>
      <c r="B3" s="674"/>
      <c r="C3" s="674"/>
      <c r="D3" s="674"/>
      <c r="E3" s="674"/>
      <c r="F3" s="674"/>
      <c r="G3" s="674"/>
      <c r="H3" s="674"/>
      <c r="I3" s="33"/>
    </row>
    <row r="4" ht="10.5" customHeight="1"/>
    <row r="5" spans="1:8" ht="30.75" customHeight="1">
      <c r="A5" s="726" t="s">
        <v>886</v>
      </c>
      <c r="B5" s="726"/>
      <c r="C5" s="726"/>
      <c r="D5" s="726"/>
      <c r="E5" s="726"/>
      <c r="F5" s="726"/>
      <c r="G5" s="726"/>
      <c r="H5" s="726"/>
    </row>
    <row r="7" ht="0.75" customHeight="1"/>
    <row r="8" spans="1:8" ht="12.75">
      <c r="A8" s="13" t="s">
        <v>656</v>
      </c>
      <c r="H8" s="14" t="s">
        <v>25</v>
      </c>
    </row>
    <row r="9" spans="4:20" ht="12.75">
      <c r="D9" s="653" t="s">
        <v>880</v>
      </c>
      <c r="E9" s="653"/>
      <c r="F9" s="653"/>
      <c r="G9" s="653"/>
      <c r="H9" s="653"/>
      <c r="T9" s="16"/>
    </row>
    <row r="10" spans="1:8" ht="54" customHeight="1">
      <c r="A10" s="209" t="s">
        <v>2</v>
      </c>
      <c r="B10" s="209" t="s">
        <v>3</v>
      </c>
      <c r="C10" s="218" t="s">
        <v>924</v>
      </c>
      <c r="D10" s="218" t="s">
        <v>925</v>
      </c>
      <c r="E10" s="218" t="s">
        <v>120</v>
      </c>
      <c r="F10" s="218" t="s">
        <v>472</v>
      </c>
      <c r="G10" s="218" t="s">
        <v>174</v>
      </c>
      <c r="H10" s="218" t="s">
        <v>830</v>
      </c>
    </row>
    <row r="11" spans="1:8" s="48" customFormat="1" ht="15.75" customHeight="1">
      <c r="A11" s="50">
        <v>1</v>
      </c>
      <c r="B11" s="49">
        <v>2</v>
      </c>
      <c r="C11" s="50">
        <v>3</v>
      </c>
      <c r="D11" s="49">
        <v>4</v>
      </c>
      <c r="E11" s="50">
        <v>5</v>
      </c>
      <c r="F11" s="49">
        <v>6</v>
      </c>
      <c r="G11" s="50">
        <v>7</v>
      </c>
      <c r="H11" s="50">
        <v>8</v>
      </c>
    </row>
    <row r="12" spans="1:8" ht="54" customHeight="1">
      <c r="A12" s="100">
        <v>1</v>
      </c>
      <c r="B12" s="427" t="s">
        <v>632</v>
      </c>
      <c r="C12" s="219">
        <v>11.988</v>
      </c>
      <c r="D12" s="219">
        <v>0</v>
      </c>
      <c r="E12" s="219">
        <v>11.988</v>
      </c>
      <c r="F12" s="219">
        <v>1820</v>
      </c>
      <c r="G12" s="219">
        <v>11.988</v>
      </c>
      <c r="H12" s="219">
        <f aca="true" t="shared" si="0" ref="H12:H17">D12+E12-G12</f>
        <v>0</v>
      </c>
    </row>
    <row r="13" spans="1:8" ht="74.25" customHeight="1" hidden="1">
      <c r="A13" s="100">
        <v>2</v>
      </c>
      <c r="B13" s="427" t="s">
        <v>633</v>
      </c>
      <c r="C13" s="219"/>
      <c r="D13" s="219">
        <v>0</v>
      </c>
      <c r="E13" s="219"/>
      <c r="F13" s="219">
        <v>1820</v>
      </c>
      <c r="G13" s="219"/>
      <c r="H13" s="219">
        <f t="shared" si="0"/>
        <v>0</v>
      </c>
    </row>
    <row r="14" spans="1:8" ht="49.5" customHeight="1">
      <c r="A14" s="100">
        <v>2</v>
      </c>
      <c r="B14" s="427" t="s">
        <v>633</v>
      </c>
      <c r="C14" s="219">
        <v>7.405</v>
      </c>
      <c r="D14" s="219">
        <v>0</v>
      </c>
      <c r="E14" s="219">
        <v>7.405</v>
      </c>
      <c r="F14" s="219">
        <v>1820</v>
      </c>
      <c r="G14" s="219">
        <v>7.405</v>
      </c>
      <c r="H14" s="219">
        <f t="shared" si="0"/>
        <v>0</v>
      </c>
    </row>
    <row r="15" spans="1:8" ht="48.75" customHeight="1">
      <c r="A15" s="100">
        <v>3</v>
      </c>
      <c r="B15" s="427" t="s">
        <v>634</v>
      </c>
      <c r="C15" s="219">
        <v>2.11</v>
      </c>
      <c r="D15" s="219">
        <v>0</v>
      </c>
      <c r="E15" s="219">
        <v>2.11</v>
      </c>
      <c r="F15" s="219">
        <v>1820</v>
      </c>
      <c r="G15" s="219">
        <v>2.11</v>
      </c>
      <c r="H15" s="219">
        <f t="shared" si="0"/>
        <v>0</v>
      </c>
    </row>
    <row r="16" spans="1:8" ht="53.25" customHeight="1">
      <c r="A16" s="100">
        <v>4</v>
      </c>
      <c r="B16" s="427" t="s">
        <v>635</v>
      </c>
      <c r="C16" s="219">
        <v>7.587</v>
      </c>
      <c r="D16" s="219">
        <v>0</v>
      </c>
      <c r="E16" s="219">
        <v>7.587</v>
      </c>
      <c r="F16" s="219">
        <v>1820</v>
      </c>
      <c r="G16" s="219">
        <v>7.587</v>
      </c>
      <c r="H16" s="219">
        <f t="shared" si="0"/>
        <v>0</v>
      </c>
    </row>
    <row r="17" spans="1:8" ht="49.5" customHeight="1">
      <c r="A17" s="17"/>
      <c r="B17" s="204" t="s">
        <v>625</v>
      </c>
      <c r="C17" s="204">
        <f>SUM(C12:C16)</f>
        <v>29.09</v>
      </c>
      <c r="D17" s="204">
        <f>SUM(D12:D16)</f>
        <v>0</v>
      </c>
      <c r="E17" s="263">
        <f>SUM(E12:E16)</f>
        <v>29.09</v>
      </c>
      <c r="F17" s="219">
        <v>1820</v>
      </c>
      <c r="G17" s="263">
        <f>SUM(G12:G16)</f>
        <v>29.09</v>
      </c>
      <c r="H17" s="204">
        <f t="shared" si="0"/>
        <v>0</v>
      </c>
    </row>
    <row r="18" spans="1:5" ht="12.75" customHeight="1">
      <c r="A18" s="54"/>
      <c r="D18" s="277"/>
      <c r="E18" s="277"/>
    </row>
    <row r="19" spans="1:6" ht="12">
      <c r="A19" s="54"/>
      <c r="D19" s="277"/>
      <c r="F19" s="252"/>
    </row>
    <row r="20" spans="1:4" ht="12">
      <c r="A20" s="54"/>
      <c r="D20" s="277"/>
    </row>
    <row r="21" spans="1:4" ht="12">
      <c r="A21" s="54"/>
      <c r="D21" s="277"/>
    </row>
    <row r="22" ht="12">
      <c r="A22" s="54"/>
    </row>
    <row r="23" ht="12">
      <c r="A23" s="54"/>
    </row>
    <row r="24" ht="12">
      <c r="A24" s="54"/>
    </row>
    <row r="26" spans="5:6" ht="12.75">
      <c r="E26" s="13"/>
      <c r="F26" s="13"/>
    </row>
    <row r="27" spans="5:7" ht="12.75">
      <c r="E27" s="3"/>
      <c r="F27" s="3"/>
      <c r="G27" s="13"/>
    </row>
    <row r="28" spans="1:8" ht="12.75">
      <c r="A28" s="13" t="s">
        <v>12</v>
      </c>
      <c r="E28" s="13"/>
      <c r="F28" s="13"/>
      <c r="H28" s="80" t="s">
        <v>13</v>
      </c>
    </row>
    <row r="29" spans="5:8" ht="12.75">
      <c r="E29" s="617" t="s">
        <v>14</v>
      </c>
      <c r="F29" s="617"/>
      <c r="G29" s="617"/>
      <c r="H29" s="617"/>
    </row>
    <row r="30" spans="5:9" ht="12.75">
      <c r="E30" s="617" t="s">
        <v>20</v>
      </c>
      <c r="F30" s="617"/>
      <c r="G30" s="617"/>
      <c r="H30" s="617"/>
      <c r="I30" s="80"/>
    </row>
    <row r="31" ht="12.75">
      <c r="H31" s="24" t="s">
        <v>86</v>
      </c>
    </row>
    <row r="33" spans="9:11" ht="12.75">
      <c r="I33" s="24"/>
      <c r="J33" s="24"/>
      <c r="K33" s="24"/>
    </row>
  </sheetData>
  <sheetProtection/>
  <mergeCells count="6">
    <mergeCell ref="A2:H2"/>
    <mergeCell ref="D9:H9"/>
    <mergeCell ref="E29:H29"/>
    <mergeCell ref="E30:H30"/>
    <mergeCell ref="A5:H5"/>
    <mergeCell ref="A3:H3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0" r:id="rId1"/>
  <colBreaks count="1" manualBreakCount="1">
    <brk id="8" max="32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1" zoomScaleSheetLayoutView="81" zoomScalePageLayoutView="0" workbookViewId="0" topLeftCell="A13">
      <selection activeCell="G18" sqref="G18"/>
    </sheetView>
  </sheetViews>
  <sheetFormatPr defaultColWidth="9.140625" defaultRowHeight="12.75"/>
  <cols>
    <col min="1" max="1" width="4.421875" style="2" customWidth="1"/>
    <col min="2" max="2" width="37.28125" style="2" customWidth="1"/>
    <col min="3" max="3" width="12.28125" style="2" customWidth="1"/>
    <col min="4" max="5" width="15.140625" style="2" customWidth="1"/>
    <col min="6" max="6" width="15.8515625" style="2" customWidth="1"/>
    <col min="7" max="7" width="12.57421875" style="2" customWidth="1"/>
    <col min="8" max="8" width="23.7109375" style="2" customWidth="1"/>
    <col min="9" max="16384" width="9.140625" style="2" customWidth="1"/>
  </cols>
  <sheetData>
    <row r="1" spans="4:14" ht="15">
      <c r="D1" s="13"/>
      <c r="E1" s="13"/>
      <c r="F1" s="13"/>
      <c r="H1" s="30" t="s">
        <v>69</v>
      </c>
      <c r="I1" s="13"/>
      <c r="M1" s="32"/>
      <c r="N1" s="32"/>
    </row>
    <row r="2" spans="1:14" ht="15">
      <c r="A2" s="667" t="s">
        <v>0</v>
      </c>
      <c r="B2" s="667"/>
      <c r="C2" s="667"/>
      <c r="D2" s="667"/>
      <c r="E2" s="667"/>
      <c r="F2" s="667"/>
      <c r="G2" s="667"/>
      <c r="H2" s="667"/>
      <c r="I2" s="34"/>
      <c r="J2" s="34"/>
      <c r="K2" s="34"/>
      <c r="L2" s="34"/>
      <c r="M2" s="34"/>
      <c r="N2" s="34"/>
    </row>
    <row r="3" spans="1:14" ht="19.5">
      <c r="A3" s="674" t="s">
        <v>841</v>
      </c>
      <c r="B3" s="674"/>
      <c r="C3" s="674"/>
      <c r="D3" s="674"/>
      <c r="E3" s="674"/>
      <c r="F3" s="674"/>
      <c r="G3" s="674"/>
      <c r="H3" s="674"/>
      <c r="I3" s="33"/>
      <c r="J3" s="33"/>
      <c r="K3" s="33"/>
      <c r="L3" s="33"/>
      <c r="M3" s="33"/>
      <c r="N3" s="33"/>
    </row>
    <row r="4" ht="10.5" customHeight="1"/>
    <row r="5" spans="1:8" ht="19.5" customHeight="1">
      <c r="A5" s="584" t="s">
        <v>887</v>
      </c>
      <c r="B5" s="667"/>
      <c r="C5" s="667"/>
      <c r="D5" s="667"/>
      <c r="E5" s="667"/>
      <c r="F5" s="667"/>
      <c r="G5" s="667"/>
      <c r="H5" s="667"/>
    </row>
    <row r="7" spans="1:10" s="12" customFormat="1" ht="15.75" customHeight="1" hidden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9" s="12" customFormat="1" ht="15">
      <c r="A8" s="579" t="s">
        <v>644</v>
      </c>
      <c r="B8" s="579"/>
      <c r="C8" s="2"/>
      <c r="D8" s="2"/>
      <c r="E8" s="2"/>
      <c r="F8" s="2"/>
      <c r="G8" s="2"/>
      <c r="H8" s="14" t="s">
        <v>29</v>
      </c>
      <c r="I8" s="2"/>
    </row>
    <row r="9" spans="1:12" s="12" customFormat="1" ht="15">
      <c r="A9" s="13"/>
      <c r="B9" s="2"/>
      <c r="C9" s="2"/>
      <c r="D9" s="69"/>
      <c r="E9" s="69"/>
      <c r="G9" s="69" t="s">
        <v>888</v>
      </c>
      <c r="H9" s="69"/>
      <c r="J9" s="52"/>
      <c r="K9" s="52"/>
      <c r="L9" s="52"/>
    </row>
    <row r="10" spans="1:8" s="26" customFormat="1" ht="55.5" customHeight="1">
      <c r="A10" s="28"/>
      <c r="B10" s="6" t="s">
        <v>30</v>
      </c>
      <c r="C10" s="6" t="s">
        <v>740</v>
      </c>
      <c r="D10" s="6" t="s">
        <v>741</v>
      </c>
      <c r="E10" s="6" t="s">
        <v>247</v>
      </c>
      <c r="F10" s="6" t="s">
        <v>248</v>
      </c>
      <c r="G10" s="6" t="s">
        <v>75</v>
      </c>
      <c r="H10" s="6" t="s">
        <v>824</v>
      </c>
    </row>
    <row r="11" spans="1:8" s="26" customFormat="1" ht="14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6.5" customHeight="1">
      <c r="A12" s="23" t="s">
        <v>31</v>
      </c>
      <c r="B12" s="23" t="s">
        <v>32</v>
      </c>
      <c r="C12" s="729">
        <v>7.44</v>
      </c>
      <c r="D12" s="729">
        <v>0</v>
      </c>
      <c r="E12" s="729">
        <v>7.44</v>
      </c>
      <c r="F12" s="729">
        <v>0</v>
      </c>
      <c r="G12" s="100"/>
      <c r="H12" s="729">
        <v>2.5</v>
      </c>
    </row>
    <row r="13" spans="1:8" ht="20.25" customHeight="1">
      <c r="A13" s="16"/>
      <c r="B13" s="16" t="s">
        <v>33</v>
      </c>
      <c r="C13" s="729"/>
      <c r="D13" s="729"/>
      <c r="E13" s="729"/>
      <c r="F13" s="729"/>
      <c r="G13" s="219"/>
      <c r="H13" s="729"/>
    </row>
    <row r="14" spans="1:8" ht="17.25" customHeight="1">
      <c r="A14" s="16"/>
      <c r="B14" s="16" t="s">
        <v>211</v>
      </c>
      <c r="C14" s="729"/>
      <c r="D14" s="729"/>
      <c r="E14" s="729"/>
      <c r="F14" s="729"/>
      <c r="G14" s="267">
        <v>2.5</v>
      </c>
      <c r="H14" s="729"/>
    </row>
    <row r="15" spans="1:8" s="26" customFormat="1" ht="33.75" customHeight="1">
      <c r="A15" s="27"/>
      <c r="B15" s="27" t="s">
        <v>212</v>
      </c>
      <c r="C15" s="729"/>
      <c r="D15" s="729"/>
      <c r="E15" s="729"/>
      <c r="F15" s="729"/>
      <c r="G15" s="267"/>
      <c r="H15" s="729"/>
    </row>
    <row r="16" spans="1:8" s="26" customFormat="1" ht="20.25" customHeight="1">
      <c r="A16" s="27"/>
      <c r="B16" s="28" t="s">
        <v>34</v>
      </c>
      <c r="C16" s="73">
        <v>7.44</v>
      </c>
      <c r="D16" s="73">
        <v>0</v>
      </c>
      <c r="E16" s="73">
        <v>7.44</v>
      </c>
      <c r="F16" s="73"/>
      <c r="G16" s="267">
        <v>2.5</v>
      </c>
      <c r="H16" s="73">
        <v>2.5</v>
      </c>
    </row>
    <row r="17" spans="1:8" s="26" customFormat="1" ht="40.5" customHeight="1">
      <c r="A17" s="28" t="s">
        <v>35</v>
      </c>
      <c r="B17" s="28" t="s">
        <v>246</v>
      </c>
      <c r="C17" s="728">
        <v>7.43</v>
      </c>
      <c r="D17" s="728">
        <v>0</v>
      </c>
      <c r="E17" s="728">
        <v>7.43</v>
      </c>
      <c r="F17" s="728">
        <v>0</v>
      </c>
      <c r="G17" s="267"/>
      <c r="H17" s="727"/>
    </row>
    <row r="18" spans="1:8" ht="28.5" customHeight="1">
      <c r="A18" s="16"/>
      <c r="B18" s="96" t="s">
        <v>214</v>
      </c>
      <c r="C18" s="728"/>
      <c r="D18" s="728"/>
      <c r="E18" s="728"/>
      <c r="F18" s="728"/>
      <c r="G18" s="219">
        <v>8.22</v>
      </c>
      <c r="H18" s="727"/>
    </row>
    <row r="19" spans="1:8" ht="19.5" customHeight="1">
      <c r="A19" s="16"/>
      <c r="B19" s="27" t="s">
        <v>36</v>
      </c>
      <c r="C19" s="728"/>
      <c r="D19" s="728"/>
      <c r="E19" s="728"/>
      <c r="F19" s="728"/>
      <c r="G19" s="219"/>
      <c r="H19" s="727"/>
    </row>
    <row r="20" spans="1:8" ht="21.75" customHeight="1">
      <c r="A20" s="16"/>
      <c r="B20" s="27" t="s">
        <v>215</v>
      </c>
      <c r="C20" s="728"/>
      <c r="D20" s="728"/>
      <c r="E20" s="728"/>
      <c r="F20" s="728"/>
      <c r="G20" s="219">
        <v>1.53</v>
      </c>
      <c r="H20" s="727"/>
    </row>
    <row r="21" spans="1:8" s="26" customFormat="1" ht="27.75" customHeight="1">
      <c r="A21" s="27"/>
      <c r="B21" s="27" t="s">
        <v>37</v>
      </c>
      <c r="C21" s="728"/>
      <c r="D21" s="728"/>
      <c r="E21" s="728"/>
      <c r="F21" s="728"/>
      <c r="G21" s="267">
        <v>0.65</v>
      </c>
      <c r="H21" s="727"/>
    </row>
    <row r="22" spans="1:8" s="26" customFormat="1" ht="19.5" customHeight="1">
      <c r="A22" s="27"/>
      <c r="B22" s="27" t="s">
        <v>213</v>
      </c>
      <c r="C22" s="728"/>
      <c r="D22" s="728"/>
      <c r="E22" s="728"/>
      <c r="F22" s="728"/>
      <c r="G22" s="267">
        <v>1.97</v>
      </c>
      <c r="H22" s="727"/>
    </row>
    <row r="23" spans="1:8" s="26" customFormat="1" ht="27.75" customHeight="1">
      <c r="A23" s="27"/>
      <c r="B23" s="27" t="s">
        <v>216</v>
      </c>
      <c r="C23" s="728"/>
      <c r="D23" s="728"/>
      <c r="E23" s="728"/>
      <c r="F23" s="728"/>
      <c r="G23" s="267"/>
      <c r="H23" s="727"/>
    </row>
    <row r="24" spans="1:8" s="26" customFormat="1" ht="18.75" customHeight="1">
      <c r="A24" s="28"/>
      <c r="B24" s="27" t="s">
        <v>217</v>
      </c>
      <c r="C24" s="728"/>
      <c r="D24" s="728"/>
      <c r="E24" s="728"/>
      <c r="F24" s="728"/>
      <c r="G24" s="267">
        <v>0</v>
      </c>
      <c r="H24" s="727"/>
    </row>
    <row r="25" spans="1:8" s="26" customFormat="1" ht="19.5" customHeight="1">
      <c r="A25" s="28"/>
      <c r="B25" s="28" t="s">
        <v>34</v>
      </c>
      <c r="C25" s="73">
        <v>7.43</v>
      </c>
      <c r="D25" s="73">
        <v>0</v>
      </c>
      <c r="E25" s="73">
        <v>7.43</v>
      </c>
      <c r="F25" s="73">
        <v>0</v>
      </c>
      <c r="G25" s="267">
        <f>SUM(G17:G24)</f>
        <v>12.370000000000001</v>
      </c>
      <c r="H25" s="73">
        <v>12.37</v>
      </c>
    </row>
    <row r="26" spans="1:8" ht="27" customHeight="1">
      <c r="A26" s="16"/>
      <c r="B26" s="23" t="s">
        <v>38</v>
      </c>
      <c r="C26" s="209">
        <f>C16+C25</f>
        <v>14.870000000000001</v>
      </c>
      <c r="D26" s="209">
        <f>D16+D25</f>
        <v>0</v>
      </c>
      <c r="E26" s="209">
        <f>E16+E25</f>
        <v>14.870000000000001</v>
      </c>
      <c r="F26" s="209">
        <v>0</v>
      </c>
      <c r="G26" s="263">
        <v>14.87</v>
      </c>
      <c r="H26" s="106">
        <f>C26-G26</f>
        <v>0</v>
      </c>
    </row>
    <row r="27" spans="6:8" s="26" customFormat="1" ht="15.75" customHeight="1">
      <c r="F27" s="295"/>
      <c r="G27" s="295"/>
      <c r="H27" s="295"/>
    </row>
    <row r="28" spans="6:8" s="26" customFormat="1" ht="15.75" customHeight="1">
      <c r="F28" s="295"/>
      <c r="G28" s="295"/>
      <c r="H28" s="295"/>
    </row>
    <row r="29" spans="1:8" ht="12.75" customHeight="1">
      <c r="A29" s="26"/>
      <c r="B29" s="26"/>
      <c r="C29" s="26"/>
      <c r="D29" s="26"/>
      <c r="E29" s="26"/>
      <c r="F29" s="26"/>
      <c r="G29" s="26"/>
      <c r="H29" s="26"/>
    </row>
    <row r="30" spans="1:8" ht="13.5" customHeight="1">
      <c r="A30" s="26"/>
      <c r="B30" s="26"/>
      <c r="C30" s="26"/>
      <c r="D30" s="26"/>
      <c r="E30" s="26"/>
      <c r="F30" s="26"/>
      <c r="G30" s="26"/>
      <c r="H30" s="26"/>
    </row>
    <row r="31" spans="1:8" ht="12" customHeight="1">
      <c r="A31" s="26"/>
      <c r="B31" s="26"/>
      <c r="C31" s="26"/>
      <c r="D31" s="26"/>
      <c r="E31" s="26"/>
      <c r="F31" s="26"/>
      <c r="G31" s="26"/>
      <c r="H31" s="26"/>
    </row>
    <row r="32" spans="1:10" ht="12.75">
      <c r="A32" s="26"/>
      <c r="B32" s="26"/>
      <c r="C32" s="26"/>
      <c r="D32" s="26"/>
      <c r="E32" s="26"/>
      <c r="F32" s="26"/>
      <c r="G32" s="26"/>
      <c r="H32" s="26"/>
      <c r="I32" s="24"/>
      <c r="J32" s="24"/>
    </row>
    <row r="33" spans="2:8" ht="12.75">
      <c r="B33" s="13" t="s">
        <v>12</v>
      </c>
      <c r="C33" s="13"/>
      <c r="D33" s="13"/>
      <c r="E33" s="13"/>
      <c r="F33" s="13"/>
      <c r="G33" s="617" t="s">
        <v>13</v>
      </c>
      <c r="H33" s="617"/>
    </row>
    <row r="34" spans="2:8" ht="12.75">
      <c r="B34" s="617" t="s">
        <v>14</v>
      </c>
      <c r="C34" s="617"/>
      <c r="D34" s="617"/>
      <c r="E34" s="617"/>
      <c r="F34" s="617"/>
      <c r="G34" s="617"/>
      <c r="H34" s="617"/>
    </row>
    <row r="35" spans="2:8" ht="12.75">
      <c r="B35" s="617" t="s">
        <v>20</v>
      </c>
      <c r="C35" s="617"/>
      <c r="D35" s="617"/>
      <c r="E35" s="617"/>
      <c r="F35" s="617"/>
      <c r="G35" s="617"/>
      <c r="H35" s="617"/>
    </row>
    <row r="36" spans="2:8" ht="12.75">
      <c r="B36" s="13"/>
      <c r="C36" s="13"/>
      <c r="D36" s="13"/>
      <c r="E36" s="13"/>
      <c r="F36" s="13"/>
      <c r="G36" s="24" t="s">
        <v>86</v>
      </c>
      <c r="H36" s="24"/>
    </row>
  </sheetData>
  <sheetProtection/>
  <mergeCells count="17">
    <mergeCell ref="A2:H2"/>
    <mergeCell ref="A3:H3"/>
    <mergeCell ref="C12:C15"/>
    <mergeCell ref="D12:D15"/>
    <mergeCell ref="F12:F15"/>
    <mergeCell ref="B35:H35"/>
    <mergeCell ref="C17:C24"/>
    <mergeCell ref="H12:H15"/>
    <mergeCell ref="A5:H5"/>
    <mergeCell ref="E12:E15"/>
    <mergeCell ref="A8:B8"/>
    <mergeCell ref="H17:H24"/>
    <mergeCell ref="B34:H34"/>
    <mergeCell ref="D17:D24"/>
    <mergeCell ref="E17:E24"/>
    <mergeCell ref="F17:F24"/>
    <mergeCell ref="G33:H33"/>
  </mergeCells>
  <printOptions horizontalCentered="1" verticalCentered="1"/>
  <pageMargins left="0.511811023622047" right="0.511811023622047" top="1.02362204724409" bottom="0.19687500000000002" header="0.31496062992126" footer="0.31496062992126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0" zoomScaleSheetLayoutView="80" zoomScalePageLayoutView="0" workbookViewId="0" topLeftCell="A5">
      <selection activeCell="C15" sqref="C15"/>
    </sheetView>
  </sheetViews>
  <sheetFormatPr defaultColWidth="9.140625" defaultRowHeight="12.75"/>
  <cols>
    <col min="1" max="1" width="9.140625" style="2" customWidth="1"/>
    <col min="2" max="2" width="19.28125" style="2" customWidth="1"/>
    <col min="3" max="3" width="28.421875" style="2" customWidth="1"/>
    <col min="4" max="4" width="27.7109375" style="2" customWidth="1"/>
    <col min="5" max="5" width="30.28125" style="2" customWidth="1"/>
    <col min="6" max="16384" width="9.140625" style="2" customWidth="1"/>
  </cols>
  <sheetData>
    <row r="1" spans="5:6" ht="15">
      <c r="E1" s="30" t="s">
        <v>623</v>
      </c>
      <c r="F1" s="32"/>
    </row>
    <row r="2" spans="4:6" ht="15">
      <c r="D2" s="34" t="s">
        <v>0</v>
      </c>
      <c r="E2" s="34"/>
      <c r="F2" s="34"/>
    </row>
    <row r="3" spans="2:6" ht="19.5">
      <c r="B3" s="101"/>
      <c r="C3" s="674" t="s">
        <v>841</v>
      </c>
      <c r="D3" s="674"/>
      <c r="E3" s="674"/>
      <c r="F3" s="33"/>
    </row>
    <row r="4" ht="10.5" customHeight="1"/>
    <row r="5" spans="1:5" ht="30.75" customHeight="1">
      <c r="A5" s="726" t="s">
        <v>889</v>
      </c>
      <c r="B5" s="726"/>
      <c r="C5" s="726"/>
      <c r="D5" s="726"/>
      <c r="E5" s="726"/>
    </row>
    <row r="7" ht="0.75" customHeight="1"/>
    <row r="8" ht="12.75">
      <c r="A8" s="13" t="s">
        <v>656</v>
      </c>
    </row>
    <row r="9" spans="4:5" ht="12.75">
      <c r="D9" s="730" t="s">
        <v>890</v>
      </c>
      <c r="E9" s="730"/>
    </row>
    <row r="10" spans="1:5" ht="26.25" customHeight="1">
      <c r="A10" s="670" t="s">
        <v>2</v>
      </c>
      <c r="B10" s="670" t="s">
        <v>3</v>
      </c>
      <c r="C10" s="701" t="s">
        <v>619</v>
      </c>
      <c r="D10" s="703"/>
      <c r="E10" s="702"/>
    </row>
    <row r="11" spans="1:5" ht="66" customHeight="1">
      <c r="A11" s="670"/>
      <c r="B11" s="670"/>
      <c r="C11" s="6" t="s">
        <v>621</v>
      </c>
      <c r="D11" s="6" t="s">
        <v>622</v>
      </c>
      <c r="E11" s="6" t="s">
        <v>620</v>
      </c>
    </row>
    <row r="12" spans="1:5" s="48" customFormat="1" ht="15.75" customHeight="1">
      <c r="A12" s="50">
        <v>1</v>
      </c>
      <c r="B12" s="49">
        <v>2</v>
      </c>
      <c r="C12" s="50">
        <v>3</v>
      </c>
      <c r="D12" s="49">
        <v>4</v>
      </c>
      <c r="E12" s="50">
        <v>5</v>
      </c>
    </row>
    <row r="13" spans="1:5" ht="42" customHeight="1">
      <c r="A13" s="100">
        <v>1</v>
      </c>
      <c r="B13" s="433" t="s">
        <v>632</v>
      </c>
      <c r="C13" s="219">
        <v>3</v>
      </c>
      <c r="D13" s="219">
        <v>1</v>
      </c>
      <c r="E13" s="219">
        <v>245</v>
      </c>
    </row>
    <row r="14" spans="1:5" ht="74.25" customHeight="1" hidden="1">
      <c r="A14" s="100">
        <v>2</v>
      </c>
      <c r="B14" s="433" t="s">
        <v>633</v>
      </c>
      <c r="C14" s="219">
        <v>0</v>
      </c>
      <c r="D14" s="219">
        <v>0</v>
      </c>
      <c r="E14" s="219"/>
    </row>
    <row r="15" spans="1:5" ht="36" customHeight="1">
      <c r="A15" s="100">
        <v>2</v>
      </c>
      <c r="B15" s="433" t="s">
        <v>633</v>
      </c>
      <c r="C15" s="219">
        <v>1</v>
      </c>
      <c r="D15" s="219">
        <v>1</v>
      </c>
      <c r="E15" s="219">
        <v>169</v>
      </c>
    </row>
    <row r="16" spans="1:5" ht="30" customHeight="1">
      <c r="A16" s="100">
        <v>3</v>
      </c>
      <c r="B16" s="433" t="s">
        <v>634</v>
      </c>
      <c r="C16" s="219">
        <v>2</v>
      </c>
      <c r="D16" s="219">
        <v>2</v>
      </c>
      <c r="E16" s="219">
        <v>64</v>
      </c>
    </row>
    <row r="17" spans="1:5" ht="34.5" customHeight="1">
      <c r="A17" s="100">
        <v>4</v>
      </c>
      <c r="B17" s="434" t="s">
        <v>635</v>
      </c>
      <c r="C17" s="219">
        <v>1</v>
      </c>
      <c r="D17" s="219">
        <v>6</v>
      </c>
      <c r="E17" s="219">
        <v>201</v>
      </c>
    </row>
    <row r="18" spans="1:5" ht="29.25" customHeight="1">
      <c r="A18" s="4" t="s">
        <v>19</v>
      </c>
      <c r="B18" s="23"/>
      <c r="C18" s="204">
        <f>SUM(C13:C17)</f>
        <v>7</v>
      </c>
      <c r="D18" s="204">
        <f>SUM(D13:D17)</f>
        <v>10</v>
      </c>
      <c r="E18" s="204">
        <f>SUM(E13:E17)</f>
        <v>679</v>
      </c>
    </row>
    <row r="19" ht="12.75" customHeight="1">
      <c r="E19" s="13"/>
    </row>
    <row r="20" ht="12.75">
      <c r="E20" s="13"/>
    </row>
    <row r="21" ht="12.75">
      <c r="E21" s="13"/>
    </row>
    <row r="22" ht="12.75">
      <c r="E22" s="13"/>
    </row>
    <row r="23" ht="12.75">
      <c r="E23" s="13"/>
    </row>
    <row r="24" ht="12.75">
      <c r="E24" s="13"/>
    </row>
    <row r="25" ht="12.75">
      <c r="E25" s="3"/>
    </row>
    <row r="26" spans="1:5" ht="12.75">
      <c r="A26" s="13" t="s">
        <v>12</v>
      </c>
      <c r="E26" s="13"/>
    </row>
    <row r="27" ht="25.5">
      <c r="E27" s="79" t="s">
        <v>14</v>
      </c>
    </row>
    <row r="28" ht="25.5">
      <c r="E28" s="79" t="s">
        <v>20</v>
      </c>
    </row>
    <row r="31" ht="12.75">
      <c r="F31" s="80"/>
    </row>
    <row r="32" ht="12.75" customHeight="1"/>
    <row r="33" ht="12.75" customHeight="1"/>
    <row r="34" spans="6:8" ht="12.75">
      <c r="F34" s="579"/>
      <c r="G34" s="579"/>
      <c r="H34" s="579"/>
    </row>
  </sheetData>
  <sheetProtection/>
  <mergeCells count="7">
    <mergeCell ref="F34:H34"/>
    <mergeCell ref="C10:E10"/>
    <mergeCell ref="D9:E9"/>
    <mergeCell ref="B10:B11"/>
    <mergeCell ref="A10:A11"/>
    <mergeCell ref="C3:E3"/>
    <mergeCell ref="A5:E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8" r:id="rId1"/>
  <colBreaks count="1" manualBreakCount="1">
    <brk id="5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9" zoomScaleSheetLayoutView="89" zoomScalePageLayoutView="0" workbookViewId="0" topLeftCell="A7">
      <selection activeCell="A12" sqref="A12"/>
    </sheetView>
  </sheetViews>
  <sheetFormatPr defaultColWidth="9.140625" defaultRowHeight="12.75"/>
  <cols>
    <col min="1" max="1" width="8.28125" style="0" customWidth="1"/>
    <col min="3" max="3" width="14.28125" style="0" customWidth="1"/>
    <col min="4" max="5" width="13.57421875" style="0" customWidth="1"/>
    <col min="6" max="6" width="12.8515625" style="0" customWidth="1"/>
    <col min="7" max="7" width="14.421875" style="0" customWidth="1"/>
    <col min="8" max="8" width="15.28125" style="0" customWidth="1"/>
    <col min="9" max="9" width="15.421875" style="0" customWidth="1"/>
    <col min="10" max="10" width="14.7109375" style="0" customWidth="1"/>
    <col min="11" max="11" width="10.7109375" style="0" customWidth="1"/>
  </cols>
  <sheetData>
    <row r="1" spans="10:11" ht="15">
      <c r="J1" s="731" t="s">
        <v>704</v>
      </c>
      <c r="K1" s="731"/>
    </row>
    <row r="2" spans="3:12" ht="15">
      <c r="C2" s="650" t="s">
        <v>0</v>
      </c>
      <c r="D2" s="650"/>
      <c r="E2" s="650"/>
      <c r="F2" s="650"/>
      <c r="G2" s="650"/>
      <c r="H2" s="650"/>
      <c r="I2" s="156"/>
      <c r="J2" s="134"/>
      <c r="L2" s="134"/>
    </row>
    <row r="3" spans="2:12" ht="20.25">
      <c r="B3" s="736" t="s">
        <v>841</v>
      </c>
      <c r="C3" s="736"/>
      <c r="D3" s="736"/>
      <c r="E3" s="736"/>
      <c r="F3" s="736"/>
      <c r="G3" s="736"/>
      <c r="H3" s="736"/>
      <c r="I3" s="736"/>
      <c r="J3" s="736"/>
      <c r="K3" s="135"/>
      <c r="L3" s="135"/>
    </row>
    <row r="4" spans="3:12" ht="20.25">
      <c r="C4" s="119"/>
      <c r="D4" s="119"/>
      <c r="E4" s="119"/>
      <c r="F4" s="119"/>
      <c r="G4" s="119"/>
      <c r="H4" s="119"/>
      <c r="I4" s="119"/>
      <c r="J4" s="135"/>
      <c r="K4" s="135"/>
      <c r="L4" s="135"/>
    </row>
    <row r="5" spans="3:9" ht="20.25" customHeight="1">
      <c r="C5" s="737" t="s">
        <v>891</v>
      </c>
      <c r="D5" s="737"/>
      <c r="E5" s="737"/>
      <c r="F5" s="737"/>
      <c r="G5" s="737"/>
      <c r="H5" s="737"/>
      <c r="I5" s="737"/>
    </row>
    <row r="6" spans="1:10" ht="20.25" customHeight="1">
      <c r="A6" s="2" t="s">
        <v>650</v>
      </c>
      <c r="C6" s="139"/>
      <c r="D6" s="139"/>
      <c r="E6" s="139"/>
      <c r="F6" s="139"/>
      <c r="G6" s="139"/>
      <c r="H6" s="139"/>
      <c r="I6" s="738"/>
      <c r="J6" s="738"/>
    </row>
    <row r="7" spans="1:10" ht="15" customHeight="1">
      <c r="A7" s="732" t="s">
        <v>76</v>
      </c>
      <c r="B7" s="732" t="s">
        <v>39</v>
      </c>
      <c r="C7" s="732" t="s">
        <v>443</v>
      </c>
      <c r="D7" s="732" t="s">
        <v>422</v>
      </c>
      <c r="E7" s="733" t="s">
        <v>498</v>
      </c>
      <c r="F7" s="732" t="s">
        <v>421</v>
      </c>
      <c r="G7" s="732"/>
      <c r="H7" s="732"/>
      <c r="I7" s="732" t="s">
        <v>447</v>
      </c>
      <c r="J7" s="733" t="s">
        <v>448</v>
      </c>
    </row>
    <row r="8" spans="1:10" ht="12.75" customHeight="1">
      <c r="A8" s="732"/>
      <c r="B8" s="732"/>
      <c r="C8" s="732"/>
      <c r="D8" s="732"/>
      <c r="E8" s="734"/>
      <c r="F8" s="732" t="s">
        <v>444</v>
      </c>
      <c r="G8" s="732" t="s">
        <v>445</v>
      </c>
      <c r="H8" s="732" t="s">
        <v>446</v>
      </c>
      <c r="I8" s="732"/>
      <c r="J8" s="734"/>
    </row>
    <row r="9" spans="1:10" ht="20.25" customHeight="1">
      <c r="A9" s="732"/>
      <c r="B9" s="732"/>
      <c r="C9" s="732"/>
      <c r="D9" s="732"/>
      <c r="E9" s="734"/>
      <c r="F9" s="732"/>
      <c r="G9" s="732"/>
      <c r="H9" s="732"/>
      <c r="I9" s="732"/>
      <c r="J9" s="734"/>
    </row>
    <row r="10" spans="1:10" ht="60.75" customHeight="1">
      <c r="A10" s="732"/>
      <c r="B10" s="732"/>
      <c r="C10" s="732"/>
      <c r="D10" s="732"/>
      <c r="E10" s="735"/>
      <c r="F10" s="732"/>
      <c r="G10" s="732"/>
      <c r="H10" s="732"/>
      <c r="I10" s="732"/>
      <c r="J10" s="735"/>
    </row>
    <row r="11" spans="1:10" ht="14.25">
      <c r="A11" s="141">
        <v>1</v>
      </c>
      <c r="B11" s="141">
        <v>2</v>
      </c>
      <c r="C11" s="142">
        <v>3</v>
      </c>
      <c r="D11" s="141">
        <v>4</v>
      </c>
      <c r="E11" s="142">
        <v>5</v>
      </c>
      <c r="F11" s="141">
        <v>6</v>
      </c>
      <c r="G11" s="142">
        <v>7</v>
      </c>
      <c r="H11" s="141">
        <v>8</v>
      </c>
      <c r="I11" s="142">
        <v>9</v>
      </c>
      <c r="J11" s="141">
        <v>10</v>
      </c>
    </row>
    <row r="12" spans="1:10" ht="45" customHeight="1">
      <c r="A12" s="265">
        <v>1</v>
      </c>
      <c r="B12" s="265" t="s">
        <v>632</v>
      </c>
      <c r="C12" s="479"/>
      <c r="D12" s="480"/>
      <c r="E12" s="481"/>
      <c r="F12" s="480"/>
      <c r="G12" s="479"/>
      <c r="H12" s="482"/>
      <c r="I12" s="479"/>
      <c r="J12" s="483"/>
    </row>
    <row r="13" spans="1:10" ht="40.5" customHeight="1">
      <c r="A13" s="265">
        <v>2</v>
      </c>
      <c r="B13" s="265" t="s">
        <v>633</v>
      </c>
      <c r="C13" s="479"/>
      <c r="D13" s="480"/>
      <c r="E13" s="481"/>
      <c r="F13" s="480"/>
      <c r="G13" s="479"/>
      <c r="H13" s="482"/>
      <c r="I13" s="479"/>
      <c r="J13" s="483"/>
    </row>
    <row r="14" spans="1:10" ht="40.5" customHeight="1">
      <c r="A14" s="265">
        <v>3</v>
      </c>
      <c r="B14" s="265" t="s">
        <v>634</v>
      </c>
      <c r="C14" s="479"/>
      <c r="D14" s="480"/>
      <c r="E14" s="481"/>
      <c r="F14" s="480"/>
      <c r="G14" s="479"/>
      <c r="H14" s="482"/>
      <c r="I14" s="479"/>
      <c r="J14" s="483"/>
    </row>
    <row r="15" spans="1:10" ht="44.25" customHeight="1">
      <c r="A15" s="265">
        <v>4</v>
      </c>
      <c r="B15" s="265" t="s">
        <v>635</v>
      </c>
      <c r="C15" s="479"/>
      <c r="D15" s="480"/>
      <c r="E15" s="481"/>
      <c r="F15" s="480"/>
      <c r="G15" s="479"/>
      <c r="H15" s="482"/>
      <c r="I15" s="479"/>
      <c r="J15" s="483"/>
    </row>
    <row r="16" spans="1:10" ht="47.25" customHeight="1">
      <c r="A16" s="665" t="s">
        <v>19</v>
      </c>
      <c r="B16" s="666"/>
      <c r="C16" s="484"/>
      <c r="D16" s="485"/>
      <c r="E16" s="485"/>
      <c r="F16" s="485"/>
      <c r="G16" s="485"/>
      <c r="H16" s="485"/>
      <c r="I16" s="485"/>
      <c r="J16" s="485"/>
    </row>
    <row r="18" ht="12">
      <c r="C18" s="486" t="s">
        <v>943</v>
      </c>
    </row>
    <row r="27" spans="1:11" ht="12.75">
      <c r="A27" s="13"/>
      <c r="B27" s="13"/>
      <c r="C27" s="13"/>
      <c r="D27" s="13"/>
      <c r="E27" s="13"/>
      <c r="H27" s="617" t="s">
        <v>13</v>
      </c>
      <c r="I27" s="617"/>
      <c r="J27" s="617"/>
      <c r="K27" s="617"/>
    </row>
    <row r="28" spans="1:11" ht="12.75" customHeight="1">
      <c r="A28" s="13"/>
      <c r="B28" s="13"/>
      <c r="C28" s="13"/>
      <c r="D28" s="13"/>
      <c r="E28" s="13"/>
      <c r="H28" s="617" t="s">
        <v>14</v>
      </c>
      <c r="I28" s="617"/>
      <c r="J28" s="617"/>
      <c r="K28" s="617"/>
    </row>
    <row r="29" spans="1:11" ht="12.75" customHeight="1">
      <c r="A29" s="13"/>
      <c r="B29" s="13"/>
      <c r="C29" s="13"/>
      <c r="D29" s="13"/>
      <c r="E29" s="13"/>
      <c r="H29" s="617" t="s">
        <v>89</v>
      </c>
      <c r="I29" s="617"/>
      <c r="J29" s="617"/>
      <c r="K29" s="617"/>
    </row>
    <row r="30" spans="1:8" ht="12.75">
      <c r="A30" s="13" t="s">
        <v>12</v>
      </c>
      <c r="C30" s="13"/>
      <c r="D30" s="13"/>
      <c r="E30" s="13"/>
      <c r="H30" s="3" t="s">
        <v>86</v>
      </c>
    </row>
    <row r="31" ht="15" customHeight="1"/>
    <row r="32" ht="15" customHeight="1"/>
  </sheetData>
  <sheetProtection/>
  <mergeCells count="20">
    <mergeCell ref="F8:F10"/>
    <mergeCell ref="G8:G10"/>
    <mergeCell ref="B3:J3"/>
    <mergeCell ref="H29:K29"/>
    <mergeCell ref="A16:B16"/>
    <mergeCell ref="C5:I5"/>
    <mergeCell ref="H27:K27"/>
    <mergeCell ref="H28:K28"/>
    <mergeCell ref="D7:D10"/>
    <mergeCell ref="I6:J6"/>
    <mergeCell ref="J1:K1"/>
    <mergeCell ref="A7:A10"/>
    <mergeCell ref="H8:H10"/>
    <mergeCell ref="I7:I10"/>
    <mergeCell ref="E7:E10"/>
    <mergeCell ref="B7:B10"/>
    <mergeCell ref="C7:C10"/>
    <mergeCell ref="F7:H7"/>
    <mergeCell ref="C2:H2"/>
    <mergeCell ref="J7:J10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="98" zoomScaleSheetLayoutView="98" zoomScalePageLayoutView="0" workbookViewId="0" topLeftCell="A1">
      <selection activeCell="F6" sqref="F6:I6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17.8515625" style="0" customWidth="1"/>
    <col min="11" max="11" width="12.00390625" style="0" customWidth="1"/>
  </cols>
  <sheetData>
    <row r="1" spans="1:11" ht="15">
      <c r="A1" s="650" t="s">
        <v>0</v>
      </c>
      <c r="B1" s="650"/>
      <c r="C1" s="650"/>
      <c r="D1" s="650"/>
      <c r="E1" s="650"/>
      <c r="F1" s="650"/>
      <c r="G1" s="650"/>
      <c r="H1" s="650"/>
      <c r="I1" s="650"/>
      <c r="J1" s="650"/>
      <c r="K1" s="143" t="s">
        <v>706</v>
      </c>
    </row>
    <row r="2" spans="1:11" ht="20.25">
      <c r="A2" s="736" t="s">
        <v>841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</row>
    <row r="3" spans="1:9" ht="13.5">
      <c r="A3" s="120"/>
      <c r="B3" s="120"/>
      <c r="C3" s="120"/>
      <c r="D3" s="120"/>
      <c r="E3" s="120"/>
      <c r="F3" s="120"/>
      <c r="G3" s="120"/>
      <c r="H3" s="120"/>
      <c r="I3" s="120"/>
    </row>
    <row r="4" spans="1:9" ht="15">
      <c r="A4" s="650" t="s">
        <v>705</v>
      </c>
      <c r="B4" s="650"/>
      <c r="C4" s="650"/>
      <c r="D4" s="650"/>
      <c r="E4" s="650"/>
      <c r="F4" s="650"/>
      <c r="G4" s="650"/>
      <c r="H4" s="650"/>
      <c r="I4" s="650"/>
    </row>
    <row r="5" spans="1:9" ht="13.5">
      <c r="A5" s="121" t="s">
        <v>644</v>
      </c>
      <c r="B5" s="121"/>
      <c r="C5" s="121"/>
      <c r="D5" s="121"/>
      <c r="E5" s="121"/>
      <c r="F5" s="121"/>
      <c r="G5" s="121"/>
      <c r="H5" s="121"/>
      <c r="I5" s="120" t="s">
        <v>843</v>
      </c>
    </row>
    <row r="6" spans="1:10" ht="25.5" customHeight="1">
      <c r="A6" s="739" t="s">
        <v>2</v>
      </c>
      <c r="B6" s="739" t="s">
        <v>423</v>
      </c>
      <c r="C6" s="553" t="s">
        <v>424</v>
      </c>
      <c r="D6" s="553"/>
      <c r="E6" s="553"/>
      <c r="F6" s="740" t="s">
        <v>427</v>
      </c>
      <c r="G6" s="741"/>
      <c r="H6" s="741"/>
      <c r="I6" s="742"/>
      <c r="J6" s="743" t="s">
        <v>431</v>
      </c>
    </row>
    <row r="7" spans="1:10" ht="52.5" customHeight="1">
      <c r="A7" s="739"/>
      <c r="B7" s="739"/>
      <c r="C7" s="28" t="s">
        <v>106</v>
      </c>
      <c r="D7" s="28" t="s">
        <v>425</v>
      </c>
      <c r="E7" s="28" t="s">
        <v>426</v>
      </c>
      <c r="F7" s="137" t="s">
        <v>428</v>
      </c>
      <c r="G7" s="137" t="s">
        <v>429</v>
      </c>
      <c r="H7" s="137" t="s">
        <v>430</v>
      </c>
      <c r="I7" s="137" t="s">
        <v>49</v>
      </c>
      <c r="J7" s="744"/>
    </row>
    <row r="8" spans="1:10" ht="13.5">
      <c r="A8" s="123" t="s">
        <v>288</v>
      </c>
      <c r="B8" s="123" t="s">
        <v>289</v>
      </c>
      <c r="C8" s="123" t="s">
        <v>290</v>
      </c>
      <c r="D8" s="123" t="s">
        <v>291</v>
      </c>
      <c r="E8" s="123" t="s">
        <v>292</v>
      </c>
      <c r="F8" s="123" t="s">
        <v>295</v>
      </c>
      <c r="G8" s="123" t="s">
        <v>307</v>
      </c>
      <c r="H8" s="123" t="s">
        <v>308</v>
      </c>
      <c r="I8" s="123" t="s">
        <v>309</v>
      </c>
      <c r="J8" s="123" t="s">
        <v>337</v>
      </c>
    </row>
    <row r="9" spans="1:10" ht="12">
      <c r="A9" s="100">
        <v>1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</row>
    <row r="10" spans="1:10" ht="12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2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3" ht="12">
      <c r="A13" s="10"/>
      <c r="B13" s="10"/>
      <c r="C13" s="10"/>
      <c r="D13" s="10"/>
      <c r="E13" s="10"/>
      <c r="F13" s="10"/>
      <c r="G13" s="10"/>
      <c r="H13" s="10"/>
      <c r="I13" s="10"/>
      <c r="J13" s="10"/>
      <c r="M13" s="2" t="s">
        <v>432</v>
      </c>
    </row>
    <row r="14" spans="1:10" ht="12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20" spans="5:6" ht="12.75" customHeight="1">
      <c r="E20" t="s">
        <v>667</v>
      </c>
      <c r="F20" t="s">
        <v>668</v>
      </c>
    </row>
    <row r="21" ht="12.75" customHeight="1"/>
    <row r="22" ht="12.75" customHeight="1"/>
    <row r="31" spans="1:11" ht="12.75">
      <c r="A31" s="13"/>
      <c r="B31" s="13"/>
      <c r="C31" s="13"/>
      <c r="D31" s="13"/>
      <c r="I31" s="617" t="s">
        <v>13</v>
      </c>
      <c r="J31" s="617"/>
      <c r="K31" s="617"/>
    </row>
    <row r="32" spans="1:11" ht="12.75">
      <c r="A32" s="13"/>
      <c r="B32" s="13"/>
      <c r="C32" s="13"/>
      <c r="D32" s="13"/>
      <c r="I32" s="617" t="s">
        <v>14</v>
      </c>
      <c r="J32" s="617"/>
      <c r="K32" s="617"/>
    </row>
    <row r="33" spans="1:11" ht="18" customHeight="1">
      <c r="A33" s="617" t="s">
        <v>89</v>
      </c>
      <c r="B33" s="617"/>
      <c r="C33" s="617"/>
      <c r="D33" s="617"/>
      <c r="E33" s="617"/>
      <c r="F33" s="617"/>
      <c r="G33" s="617"/>
      <c r="H33" s="617"/>
      <c r="I33" s="617"/>
      <c r="J33" s="617"/>
      <c r="K33" s="617"/>
    </row>
    <row r="34" spans="1:10" ht="12.75">
      <c r="A34" s="13" t="s">
        <v>12</v>
      </c>
      <c r="C34" s="13"/>
      <c r="D34" s="13"/>
      <c r="J34" s="3" t="s">
        <v>86</v>
      </c>
    </row>
  </sheetData>
  <sheetProtection/>
  <mergeCells count="11">
    <mergeCell ref="I31:K31"/>
    <mergeCell ref="I32:K32"/>
    <mergeCell ref="A33:K33"/>
    <mergeCell ref="A1:J1"/>
    <mergeCell ref="A4:I4"/>
    <mergeCell ref="A6:A7"/>
    <mergeCell ref="B6:B7"/>
    <mergeCell ref="C6:E6"/>
    <mergeCell ref="A2:K2"/>
    <mergeCell ref="F6:I6"/>
    <mergeCell ref="J6:J7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view="pageBreakPreview" zoomScale="85" zoomScaleSheetLayoutView="85" zoomScalePageLayoutView="0" workbookViewId="0" topLeftCell="A25">
      <selection activeCell="C47" sqref="C47"/>
    </sheetView>
  </sheetViews>
  <sheetFormatPr defaultColWidth="9.140625" defaultRowHeight="12.75"/>
  <cols>
    <col min="1" max="1" width="9.28125" style="13" customWidth="1"/>
    <col min="2" max="3" width="8.57421875" style="13" customWidth="1"/>
    <col min="4" max="4" width="12.00390625" style="13" customWidth="1"/>
    <col min="5" max="5" width="8.57421875" style="13" customWidth="1"/>
    <col min="6" max="6" width="9.57421875" style="13" customWidth="1"/>
    <col min="7" max="7" width="8.57421875" style="13" customWidth="1"/>
    <col min="8" max="8" width="11.7109375" style="13" customWidth="1"/>
    <col min="9" max="15" width="8.57421875" style="13" customWidth="1"/>
    <col min="16" max="16" width="8.421875" style="13" customWidth="1"/>
    <col min="17" max="19" width="8.57421875" style="13" customWidth="1"/>
    <col min="20" max="16384" width="9.140625" style="13" customWidth="1"/>
  </cols>
  <sheetData>
    <row r="1" spans="1:19" ht="12.75">
      <c r="A1" s="13" t="s">
        <v>11</v>
      </c>
      <c r="H1" s="585"/>
      <c r="I1" s="585"/>
      <c r="R1" s="581" t="s">
        <v>58</v>
      </c>
      <c r="S1" s="581"/>
    </row>
    <row r="2" spans="1:19" s="12" customFormat="1" ht="1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3" spans="1:19" s="12" customFormat="1" ht="20.25" customHeight="1">
      <c r="A3" s="583" t="s">
        <v>841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</row>
    <row r="5" spans="1:19" s="12" customFormat="1" ht="15">
      <c r="A5" s="584" t="s">
        <v>935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</row>
    <row r="6" spans="1:2" ht="12.75">
      <c r="A6" s="579" t="s">
        <v>643</v>
      </c>
      <c r="B6" s="579"/>
    </row>
    <row r="7" spans="1:9" ht="12.75">
      <c r="A7" s="579" t="s">
        <v>187</v>
      </c>
      <c r="B7" s="579"/>
      <c r="C7" s="579"/>
      <c r="D7" s="579"/>
      <c r="E7" s="579"/>
      <c r="F7" s="579"/>
      <c r="G7" s="579"/>
      <c r="H7" s="579"/>
      <c r="I7" s="579"/>
    </row>
    <row r="9" spans="1:12" ht="18" customHeight="1">
      <c r="A9" s="6"/>
      <c r="B9" s="560" t="s">
        <v>45</v>
      </c>
      <c r="C9" s="561"/>
      <c r="D9" s="560" t="s">
        <v>46</v>
      </c>
      <c r="E9" s="561"/>
      <c r="F9" s="560" t="s">
        <v>47</v>
      </c>
      <c r="G9" s="561"/>
      <c r="H9" s="586" t="s">
        <v>48</v>
      </c>
      <c r="I9" s="587"/>
      <c r="J9" s="560" t="s">
        <v>49</v>
      </c>
      <c r="K9" s="561"/>
      <c r="L9" s="6" t="s">
        <v>19</v>
      </c>
    </row>
    <row r="10" spans="1:12" s="52" customFormat="1" ht="13.5" customHeight="1">
      <c r="A10" s="296">
        <v>1</v>
      </c>
      <c r="B10" s="564">
        <v>2</v>
      </c>
      <c r="C10" s="566"/>
      <c r="D10" s="564">
        <v>3</v>
      </c>
      <c r="E10" s="566"/>
      <c r="F10" s="564">
        <v>4</v>
      </c>
      <c r="G10" s="566"/>
      <c r="H10" s="564">
        <v>5</v>
      </c>
      <c r="I10" s="566"/>
      <c r="J10" s="564">
        <v>6</v>
      </c>
      <c r="K10" s="566"/>
      <c r="L10" s="296">
        <v>7</v>
      </c>
    </row>
    <row r="11" spans="1:12" ht="12.75">
      <c r="A11" s="4" t="s">
        <v>50</v>
      </c>
      <c r="B11" s="555">
        <v>30</v>
      </c>
      <c r="C11" s="556"/>
      <c r="D11" s="555">
        <v>388</v>
      </c>
      <c r="E11" s="556"/>
      <c r="F11" s="555">
        <v>305</v>
      </c>
      <c r="G11" s="556"/>
      <c r="H11" s="555">
        <v>19</v>
      </c>
      <c r="I11" s="556"/>
      <c r="J11" s="555">
        <v>109</v>
      </c>
      <c r="K11" s="556"/>
      <c r="L11" s="15">
        <f>SUM(B11:K11)</f>
        <v>851</v>
      </c>
    </row>
    <row r="12" spans="1:12" ht="12.75">
      <c r="A12" s="4" t="s">
        <v>51</v>
      </c>
      <c r="B12" s="555">
        <v>24</v>
      </c>
      <c r="C12" s="556"/>
      <c r="D12" s="555">
        <v>432</v>
      </c>
      <c r="E12" s="556"/>
      <c r="F12" s="555">
        <v>376</v>
      </c>
      <c r="G12" s="556"/>
      <c r="H12" s="555">
        <v>38</v>
      </c>
      <c r="I12" s="556"/>
      <c r="J12" s="555">
        <v>160</v>
      </c>
      <c r="K12" s="556"/>
      <c r="L12" s="15">
        <f>SUM(B12:K12)</f>
        <v>1030</v>
      </c>
    </row>
    <row r="13" spans="1:12" ht="12.75">
      <c r="A13" s="4" t="s">
        <v>19</v>
      </c>
      <c r="B13" s="574">
        <f>SUM(B11:B12)</f>
        <v>54</v>
      </c>
      <c r="C13" s="575"/>
      <c r="D13" s="574">
        <f>SUM(D11:D12)</f>
        <v>820</v>
      </c>
      <c r="E13" s="575"/>
      <c r="F13" s="574">
        <f>SUM(F11:F12)</f>
        <v>681</v>
      </c>
      <c r="G13" s="575"/>
      <c r="H13" s="574">
        <f>SUM(H11:H12)</f>
        <v>57</v>
      </c>
      <c r="I13" s="575"/>
      <c r="J13" s="574">
        <f>SUM(J11:J12)</f>
        <v>269</v>
      </c>
      <c r="K13" s="575"/>
      <c r="L13" s="4">
        <f>SUM(B13:K13)</f>
        <v>1881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579" t="s">
        <v>461</v>
      </c>
      <c r="B15" s="579"/>
      <c r="C15" s="579"/>
      <c r="D15" s="579"/>
      <c r="E15" s="579"/>
      <c r="F15" s="579"/>
      <c r="G15" s="579"/>
      <c r="H15" s="3"/>
      <c r="I15" s="3"/>
      <c r="J15" s="3"/>
      <c r="K15" s="3"/>
      <c r="L15" s="3"/>
    </row>
    <row r="16" spans="1:12" ht="12.75" customHeight="1">
      <c r="A16" s="598" t="s">
        <v>462</v>
      </c>
      <c r="B16" s="599"/>
      <c r="C16" s="597" t="s">
        <v>226</v>
      </c>
      <c r="D16" s="597"/>
      <c r="E16" s="4" t="s">
        <v>19</v>
      </c>
      <c r="I16" s="3"/>
      <c r="J16" s="3"/>
      <c r="K16" s="3"/>
      <c r="L16" s="3"/>
    </row>
    <row r="17" spans="1:12" ht="12.75">
      <c r="A17" s="574">
        <v>900</v>
      </c>
      <c r="B17" s="575"/>
      <c r="C17" s="574">
        <v>100</v>
      </c>
      <c r="D17" s="575"/>
      <c r="E17" s="4">
        <f>SUM(A17:D17)</f>
        <v>1000</v>
      </c>
      <c r="I17" s="3"/>
      <c r="J17" s="3"/>
      <c r="K17" s="3"/>
      <c r="L17" s="3"/>
    </row>
    <row r="18" spans="1:12" ht="12.75">
      <c r="A18" s="574"/>
      <c r="B18" s="575"/>
      <c r="C18" s="574"/>
      <c r="D18" s="575"/>
      <c r="E18" s="4"/>
      <c r="I18" s="3"/>
      <c r="J18" s="3"/>
      <c r="K18" s="3"/>
      <c r="L18" s="3"/>
    </row>
    <row r="19" spans="1:12" ht="12.75">
      <c r="A19" s="24"/>
      <c r="B19" s="24"/>
      <c r="C19" s="24"/>
      <c r="D19" s="24"/>
      <c r="E19" s="24"/>
      <c r="F19" s="24"/>
      <c r="G19" s="24"/>
      <c r="H19" s="3"/>
      <c r="I19" s="3"/>
      <c r="J19" s="3"/>
      <c r="K19" s="3"/>
      <c r="L19" s="3"/>
    </row>
    <row r="21" spans="1:19" ht="18.75" customHeight="1">
      <c r="A21" s="562" t="s">
        <v>188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</row>
    <row r="22" spans="1:20" ht="12.75">
      <c r="A22" s="553" t="s">
        <v>26</v>
      </c>
      <c r="B22" s="553" t="s">
        <v>52</v>
      </c>
      <c r="C22" s="553"/>
      <c r="D22" s="553"/>
      <c r="E22" s="554" t="s">
        <v>27</v>
      </c>
      <c r="F22" s="554"/>
      <c r="G22" s="554"/>
      <c r="H22" s="554"/>
      <c r="I22" s="554"/>
      <c r="J22" s="554"/>
      <c r="K22" s="554"/>
      <c r="L22" s="554"/>
      <c r="M22" s="552" t="s">
        <v>28</v>
      </c>
      <c r="N22" s="552"/>
      <c r="O22" s="552"/>
      <c r="P22" s="552"/>
      <c r="Q22" s="552"/>
      <c r="R22" s="552"/>
      <c r="S22" s="552"/>
      <c r="T22" s="552"/>
    </row>
    <row r="23" spans="1:20" ht="41.25" customHeight="1">
      <c r="A23" s="553"/>
      <c r="B23" s="553"/>
      <c r="C23" s="553"/>
      <c r="D23" s="553"/>
      <c r="E23" s="560" t="s">
        <v>143</v>
      </c>
      <c r="F23" s="561"/>
      <c r="G23" s="560" t="s">
        <v>189</v>
      </c>
      <c r="H23" s="561"/>
      <c r="I23" s="553" t="s">
        <v>53</v>
      </c>
      <c r="J23" s="553"/>
      <c r="K23" s="560" t="s">
        <v>99</v>
      </c>
      <c r="L23" s="561"/>
      <c r="M23" s="560" t="s">
        <v>100</v>
      </c>
      <c r="N23" s="561"/>
      <c r="O23" s="560" t="s">
        <v>189</v>
      </c>
      <c r="P23" s="561"/>
      <c r="Q23" s="553" t="s">
        <v>53</v>
      </c>
      <c r="R23" s="553"/>
      <c r="S23" s="553" t="s">
        <v>99</v>
      </c>
      <c r="T23" s="553"/>
    </row>
    <row r="24" spans="1:20" s="52" customFormat="1" ht="15.75" customHeight="1">
      <c r="A24" s="296">
        <v>1</v>
      </c>
      <c r="B24" s="564">
        <v>2</v>
      </c>
      <c r="C24" s="565"/>
      <c r="D24" s="566"/>
      <c r="E24" s="564">
        <v>3</v>
      </c>
      <c r="F24" s="566"/>
      <c r="G24" s="564">
        <v>4</v>
      </c>
      <c r="H24" s="566"/>
      <c r="I24" s="570">
        <v>5</v>
      </c>
      <c r="J24" s="570"/>
      <c r="K24" s="570">
        <v>6</v>
      </c>
      <c r="L24" s="570"/>
      <c r="M24" s="564">
        <v>3</v>
      </c>
      <c r="N24" s="566"/>
      <c r="O24" s="564">
        <v>4</v>
      </c>
      <c r="P24" s="566"/>
      <c r="Q24" s="570">
        <v>5</v>
      </c>
      <c r="R24" s="570"/>
      <c r="S24" s="570">
        <v>6</v>
      </c>
      <c r="T24" s="570"/>
    </row>
    <row r="25" spans="1:20" ht="27.75" customHeight="1">
      <c r="A25" s="51">
        <v>1</v>
      </c>
      <c r="B25" s="567" t="s">
        <v>530</v>
      </c>
      <c r="C25" s="568"/>
      <c r="D25" s="569"/>
      <c r="E25" s="555">
        <v>100</v>
      </c>
      <c r="F25" s="556"/>
      <c r="G25" s="574" t="s">
        <v>380</v>
      </c>
      <c r="H25" s="575"/>
      <c r="I25" s="559">
        <v>340</v>
      </c>
      <c r="J25" s="559"/>
      <c r="K25" s="559">
        <v>8</v>
      </c>
      <c r="L25" s="559"/>
      <c r="M25" s="555">
        <v>150</v>
      </c>
      <c r="N25" s="556"/>
      <c r="O25" s="574" t="s">
        <v>380</v>
      </c>
      <c r="P25" s="575"/>
      <c r="Q25" s="559">
        <v>510</v>
      </c>
      <c r="R25" s="559"/>
      <c r="S25" s="559">
        <v>14</v>
      </c>
      <c r="T25" s="559"/>
    </row>
    <row r="26" spans="1:20" ht="12.75">
      <c r="A26" s="51">
        <v>2</v>
      </c>
      <c r="B26" s="571" t="s">
        <v>54</v>
      </c>
      <c r="C26" s="572"/>
      <c r="D26" s="573"/>
      <c r="E26" s="555">
        <v>20</v>
      </c>
      <c r="F26" s="556"/>
      <c r="G26" s="555">
        <v>1.17</v>
      </c>
      <c r="H26" s="556"/>
      <c r="I26" s="559">
        <v>70</v>
      </c>
      <c r="J26" s="559"/>
      <c r="K26" s="559">
        <v>5</v>
      </c>
      <c r="L26" s="559"/>
      <c r="M26" s="555">
        <v>30</v>
      </c>
      <c r="N26" s="556"/>
      <c r="O26" s="557">
        <v>2.33</v>
      </c>
      <c r="P26" s="558"/>
      <c r="Q26" s="559">
        <v>105</v>
      </c>
      <c r="R26" s="559"/>
      <c r="S26" s="559">
        <v>6.6</v>
      </c>
      <c r="T26" s="559"/>
    </row>
    <row r="27" spans="1:20" ht="12.75">
      <c r="A27" s="51">
        <v>3</v>
      </c>
      <c r="B27" s="571" t="s">
        <v>190</v>
      </c>
      <c r="C27" s="572"/>
      <c r="D27" s="573"/>
      <c r="E27" s="555">
        <v>50</v>
      </c>
      <c r="F27" s="556"/>
      <c r="G27" s="557">
        <v>1.5</v>
      </c>
      <c r="H27" s="558"/>
      <c r="I27" s="559">
        <v>25</v>
      </c>
      <c r="J27" s="559"/>
      <c r="K27" s="559"/>
      <c r="L27" s="559"/>
      <c r="M27" s="555">
        <v>75</v>
      </c>
      <c r="N27" s="556"/>
      <c r="O27" s="557">
        <v>1.83</v>
      </c>
      <c r="P27" s="558"/>
      <c r="Q27" s="559">
        <v>37</v>
      </c>
      <c r="R27" s="559"/>
      <c r="S27" s="559"/>
      <c r="T27" s="559"/>
    </row>
    <row r="28" spans="1:20" ht="12.75">
      <c r="A28" s="51">
        <v>4</v>
      </c>
      <c r="B28" s="571" t="s">
        <v>55</v>
      </c>
      <c r="C28" s="572"/>
      <c r="D28" s="573"/>
      <c r="E28" s="555">
        <v>5</v>
      </c>
      <c r="F28" s="556"/>
      <c r="G28" s="557">
        <v>0.8</v>
      </c>
      <c r="H28" s="558"/>
      <c r="I28" s="559">
        <v>45</v>
      </c>
      <c r="J28" s="559"/>
      <c r="K28" s="559"/>
      <c r="L28" s="559"/>
      <c r="M28" s="555">
        <v>7.5</v>
      </c>
      <c r="N28" s="556"/>
      <c r="O28" s="557">
        <v>1.48</v>
      </c>
      <c r="P28" s="558"/>
      <c r="Q28" s="559">
        <v>68</v>
      </c>
      <c r="R28" s="559"/>
      <c r="S28" s="559"/>
      <c r="T28" s="559"/>
    </row>
    <row r="29" spans="1:20" ht="12.75">
      <c r="A29" s="51">
        <v>5</v>
      </c>
      <c r="B29" s="571" t="s">
        <v>56</v>
      </c>
      <c r="C29" s="572"/>
      <c r="D29" s="573"/>
      <c r="E29" s="555"/>
      <c r="F29" s="556"/>
      <c r="G29" s="557">
        <v>0.32</v>
      </c>
      <c r="H29" s="558"/>
      <c r="I29" s="559">
        <v>0</v>
      </c>
      <c r="J29" s="559"/>
      <c r="K29" s="559"/>
      <c r="L29" s="559"/>
      <c r="M29" s="555"/>
      <c r="N29" s="556"/>
      <c r="O29" s="557">
        <v>0.32</v>
      </c>
      <c r="P29" s="558"/>
      <c r="Q29" s="559">
        <v>0</v>
      </c>
      <c r="R29" s="559"/>
      <c r="S29" s="559"/>
      <c r="T29" s="559"/>
    </row>
    <row r="30" spans="1:20" ht="12.75">
      <c r="A30" s="51">
        <v>6</v>
      </c>
      <c r="B30" s="571" t="s">
        <v>57</v>
      </c>
      <c r="C30" s="572"/>
      <c r="D30" s="573"/>
      <c r="E30" s="555"/>
      <c r="F30" s="556"/>
      <c r="G30" s="557">
        <v>0.56</v>
      </c>
      <c r="H30" s="558"/>
      <c r="I30" s="559"/>
      <c r="J30" s="559"/>
      <c r="K30" s="559"/>
      <c r="L30" s="559"/>
      <c r="M30" s="555"/>
      <c r="N30" s="556"/>
      <c r="O30" s="557">
        <v>0.55</v>
      </c>
      <c r="P30" s="558"/>
      <c r="Q30" s="559"/>
      <c r="R30" s="559"/>
      <c r="S30" s="559"/>
      <c r="T30" s="559"/>
    </row>
    <row r="31" spans="1:20" ht="12.75">
      <c r="A31" s="51">
        <v>7</v>
      </c>
      <c r="B31" s="563" t="s">
        <v>191</v>
      </c>
      <c r="C31" s="563"/>
      <c r="D31" s="563"/>
      <c r="E31" s="559"/>
      <c r="F31" s="559"/>
      <c r="G31" s="557">
        <v>0</v>
      </c>
      <c r="H31" s="558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</row>
    <row r="32" spans="1:20" ht="12.75">
      <c r="A32" s="51"/>
      <c r="B32" s="553" t="s">
        <v>19</v>
      </c>
      <c r="C32" s="553"/>
      <c r="D32" s="553"/>
      <c r="E32" s="552">
        <v>4.14</v>
      </c>
      <c r="F32" s="552"/>
      <c r="G32" s="576">
        <f>SUM(G26:G31)</f>
        <v>4.35</v>
      </c>
      <c r="H32" s="576"/>
      <c r="I32" s="552">
        <f>SUM(I25:I31)</f>
        <v>480</v>
      </c>
      <c r="J32" s="552"/>
      <c r="K32" s="552">
        <f>SUM(K25:K31)</f>
        <v>13</v>
      </c>
      <c r="L32" s="552"/>
      <c r="M32" s="552"/>
      <c r="N32" s="552"/>
      <c r="O32" s="552">
        <f>SUM(O26:O31)</f>
        <v>6.510000000000001</v>
      </c>
      <c r="P32" s="552"/>
      <c r="Q32" s="552">
        <f>SUM(Q25:Q31)</f>
        <v>720</v>
      </c>
      <c r="R32" s="552"/>
      <c r="S32" s="552">
        <f>SUM(S25:S31)</f>
        <v>20.6</v>
      </c>
      <c r="T32" s="552"/>
    </row>
    <row r="33" spans="1:20" ht="12.75">
      <c r="A33" s="297"/>
      <c r="B33" s="80"/>
      <c r="C33" s="80"/>
      <c r="D33" s="80"/>
      <c r="E33" s="3"/>
      <c r="F33" s="3"/>
      <c r="G33" s="3"/>
      <c r="H33" s="29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299" t="s">
        <v>440</v>
      </c>
      <c r="B34" s="562" t="s">
        <v>505</v>
      </c>
      <c r="C34" s="562"/>
      <c r="D34" s="562"/>
      <c r="E34" s="562"/>
      <c r="F34" s="562"/>
      <c r="G34" s="562"/>
      <c r="H34" s="56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99"/>
      <c r="B35" s="80"/>
      <c r="C35" s="80"/>
      <c r="D35" s="8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7.25" customHeight="1">
      <c r="A36" s="282" t="s">
        <v>26</v>
      </c>
      <c r="B36" s="590" t="s">
        <v>441</v>
      </c>
      <c r="C36" s="591"/>
      <c r="D36" s="592"/>
      <c r="E36" s="560" t="s">
        <v>27</v>
      </c>
      <c r="F36" s="596"/>
      <c r="G36" s="596"/>
      <c r="H36" s="596"/>
      <c r="I36" s="596"/>
      <c r="J36" s="561"/>
      <c r="K36" s="552" t="s">
        <v>28</v>
      </c>
      <c r="L36" s="552"/>
      <c r="M36" s="552"/>
      <c r="N36" s="552"/>
      <c r="O36" s="552"/>
      <c r="P36" s="552"/>
      <c r="Q36" s="390"/>
      <c r="R36" s="83"/>
      <c r="S36" s="588"/>
      <c r="T36" s="588"/>
    </row>
    <row r="37" spans="1:20" ht="12.75">
      <c r="A37" s="5"/>
      <c r="B37" s="593"/>
      <c r="C37" s="594"/>
      <c r="D37" s="595"/>
      <c r="E37" s="574" t="s">
        <v>458</v>
      </c>
      <c r="F37" s="575"/>
      <c r="G37" s="574" t="s">
        <v>459</v>
      </c>
      <c r="H37" s="575"/>
      <c r="I37" s="574" t="s">
        <v>460</v>
      </c>
      <c r="J37" s="575"/>
      <c r="K37" s="552" t="s">
        <v>458</v>
      </c>
      <c r="L37" s="552"/>
      <c r="M37" s="552" t="s">
        <v>459</v>
      </c>
      <c r="N37" s="552"/>
      <c r="O37" s="552" t="s">
        <v>460</v>
      </c>
      <c r="P37" s="552"/>
      <c r="Q37" s="3"/>
      <c r="R37" s="3"/>
      <c r="S37" s="3"/>
      <c r="T37" s="3"/>
    </row>
    <row r="38" spans="1:20" ht="12.75">
      <c r="A38" s="51">
        <v>1</v>
      </c>
      <c r="B38" s="574" t="s">
        <v>54</v>
      </c>
      <c r="C38" s="589"/>
      <c r="D38" s="575"/>
      <c r="E38" s="555"/>
      <c r="F38" s="556"/>
      <c r="G38" s="555"/>
      <c r="H38" s="556"/>
      <c r="I38" s="555"/>
      <c r="J38" s="556"/>
      <c r="K38" s="559"/>
      <c r="L38" s="559"/>
      <c r="M38" s="559"/>
      <c r="N38" s="559"/>
      <c r="O38" s="552"/>
      <c r="P38" s="552"/>
      <c r="Q38" s="3"/>
      <c r="R38" s="3"/>
      <c r="S38" s="3"/>
      <c r="T38" s="3"/>
    </row>
    <row r="39" spans="1:20" ht="12.75">
      <c r="A39" s="51">
        <v>2</v>
      </c>
      <c r="B39" s="574" t="s">
        <v>671</v>
      </c>
      <c r="C39" s="589"/>
      <c r="D39" s="575"/>
      <c r="E39" s="555"/>
      <c r="F39" s="556"/>
      <c r="G39" s="555"/>
      <c r="H39" s="556"/>
      <c r="I39" s="555"/>
      <c r="J39" s="556"/>
      <c r="K39" s="559"/>
      <c r="L39" s="559"/>
      <c r="M39" s="559"/>
      <c r="N39" s="559"/>
      <c r="O39" s="552"/>
      <c r="P39" s="552"/>
      <c r="Q39" s="3"/>
      <c r="R39" s="3"/>
      <c r="S39" s="3"/>
      <c r="T39" s="3"/>
    </row>
    <row r="40" spans="1:20" ht="12.75">
      <c r="A40" s="51">
        <v>3</v>
      </c>
      <c r="B40" s="574" t="s">
        <v>672</v>
      </c>
      <c r="C40" s="589"/>
      <c r="D40" s="575"/>
      <c r="E40" s="555"/>
      <c r="F40" s="556"/>
      <c r="G40" s="555"/>
      <c r="H40" s="556"/>
      <c r="I40" s="555"/>
      <c r="J40" s="556"/>
      <c r="K40" s="559"/>
      <c r="L40" s="559"/>
      <c r="M40" s="559"/>
      <c r="N40" s="559"/>
      <c r="O40" s="552"/>
      <c r="P40" s="552"/>
      <c r="Q40" s="3"/>
      <c r="R40" s="3"/>
      <c r="S40" s="3"/>
      <c r="T40" s="3"/>
    </row>
    <row r="41" spans="1:20" ht="12.75">
      <c r="A41" s="51">
        <v>4</v>
      </c>
      <c r="B41" s="560"/>
      <c r="C41" s="596"/>
      <c r="D41" s="561"/>
      <c r="E41" s="555"/>
      <c r="F41" s="556"/>
      <c r="G41" s="555"/>
      <c r="H41" s="556"/>
      <c r="I41" s="555"/>
      <c r="J41" s="556"/>
      <c r="K41" s="559"/>
      <c r="L41" s="559"/>
      <c r="M41" s="559"/>
      <c r="N41" s="559"/>
      <c r="O41" s="552"/>
      <c r="P41" s="552"/>
      <c r="Q41" s="3"/>
      <c r="R41" s="3"/>
      <c r="S41" s="3"/>
      <c r="T41" s="3"/>
    </row>
    <row r="44" spans="1:9" ht="13.5" customHeight="1">
      <c r="A44" s="580" t="s">
        <v>204</v>
      </c>
      <c r="B44" s="580"/>
      <c r="C44" s="580"/>
      <c r="D44" s="580"/>
      <c r="E44" s="580"/>
      <c r="F44" s="580"/>
      <c r="G44" s="580"/>
      <c r="H44" s="580"/>
      <c r="I44" s="580"/>
    </row>
    <row r="45" spans="1:9" ht="13.5" customHeight="1">
      <c r="A45" s="577" t="s">
        <v>60</v>
      </c>
      <c r="B45" s="577" t="s">
        <v>27</v>
      </c>
      <c r="C45" s="577"/>
      <c r="D45" s="577"/>
      <c r="E45" s="578" t="s">
        <v>28</v>
      </c>
      <c r="F45" s="578"/>
      <c r="G45" s="578"/>
      <c r="H45" s="600" t="s">
        <v>162</v>
      </c>
      <c r="I45" s="2"/>
    </row>
    <row r="46" spans="1:9" ht="13.5">
      <c r="A46" s="577"/>
      <c r="B46" s="300" t="s">
        <v>192</v>
      </c>
      <c r="C46" s="301" t="s">
        <v>106</v>
      </c>
      <c r="D46" s="300" t="s">
        <v>19</v>
      </c>
      <c r="E46" s="300" t="s">
        <v>192</v>
      </c>
      <c r="F46" s="301" t="s">
        <v>106</v>
      </c>
      <c r="G46" s="300" t="s">
        <v>19</v>
      </c>
      <c r="H46" s="601"/>
      <c r="I46" s="2"/>
    </row>
    <row r="47" spans="1:9" ht="13.5">
      <c r="A47" s="23" t="s">
        <v>744</v>
      </c>
      <c r="B47" s="302">
        <v>3.91</v>
      </c>
      <c r="C47" s="302">
        <v>0.44</v>
      </c>
      <c r="D47" s="303">
        <f>SUM(B47:C47)</f>
        <v>4.3500000000000005</v>
      </c>
      <c r="E47" s="302">
        <v>5.86</v>
      </c>
      <c r="F47" s="302">
        <v>0.65</v>
      </c>
      <c r="G47" s="303">
        <f>SUM(E47:F47)</f>
        <v>6.510000000000001</v>
      </c>
      <c r="H47" s="304"/>
      <c r="I47" s="2"/>
    </row>
    <row r="48" spans="1:9" ht="13.5">
      <c r="A48" s="23" t="s">
        <v>936</v>
      </c>
      <c r="B48" s="302">
        <v>3.91</v>
      </c>
      <c r="C48" s="302">
        <v>0.44</v>
      </c>
      <c r="D48" s="303">
        <f>SUM(B48:C48)</f>
        <v>4.3500000000000005</v>
      </c>
      <c r="E48" s="302">
        <v>5.86</v>
      </c>
      <c r="F48" s="302">
        <v>0.65</v>
      </c>
      <c r="G48" s="303">
        <f>SUM(E48:F48)</f>
        <v>6.510000000000001</v>
      </c>
      <c r="H48" s="305" t="s">
        <v>193</v>
      </c>
      <c r="I48" s="2"/>
    </row>
    <row r="49" spans="1:9" ht="13.5">
      <c r="A49" s="23"/>
      <c r="B49" s="306"/>
      <c r="C49" s="306"/>
      <c r="D49" s="300"/>
      <c r="E49" s="306"/>
      <c r="F49" s="306"/>
      <c r="G49" s="300"/>
      <c r="H49" s="306"/>
      <c r="I49" s="2"/>
    </row>
    <row r="50" spans="1:8" ht="13.5">
      <c r="A50" s="38" t="s">
        <v>257</v>
      </c>
      <c r="B50" s="127"/>
      <c r="C50" s="127"/>
      <c r="D50"/>
      <c r="E50"/>
      <c r="F50" s="164"/>
      <c r="G50" s="164"/>
      <c r="H50" s="164"/>
    </row>
    <row r="51" spans="1:8" ht="13.5">
      <c r="A51" s="38"/>
      <c r="B51" s="127"/>
      <c r="C51" s="127"/>
      <c r="D51"/>
      <c r="E51"/>
      <c r="F51" s="164"/>
      <c r="G51" s="164"/>
      <c r="H51" s="164"/>
    </row>
    <row r="52" spans="2:8" ht="13.5">
      <c r="B52" s="103"/>
      <c r="C52" s="103"/>
      <c r="D52" s="101"/>
      <c r="E52" s="101"/>
      <c r="F52" s="164"/>
      <c r="G52" s="164"/>
      <c r="H52" s="164"/>
    </row>
    <row r="53" spans="1:8" ht="30" customHeight="1">
      <c r="A53" s="24">
        <v>4</v>
      </c>
      <c r="B53" s="127" t="s">
        <v>463</v>
      </c>
      <c r="C53" s="127"/>
      <c r="D53"/>
      <c r="E53"/>
      <c r="F53" s="164"/>
      <c r="G53" s="164"/>
      <c r="H53" s="164"/>
    </row>
    <row r="54" spans="1:8" ht="13.5">
      <c r="A54" s="24"/>
      <c r="B54" s="165" t="s">
        <v>2</v>
      </c>
      <c r="C54" s="607" t="s">
        <v>493</v>
      </c>
      <c r="D54" s="607"/>
      <c r="E54" s="603" t="s">
        <v>464</v>
      </c>
      <c r="F54" s="604"/>
      <c r="G54" s="164"/>
      <c r="H54" s="164"/>
    </row>
    <row r="55" spans="2:8" ht="13.5">
      <c r="B55" s="53">
        <v>1</v>
      </c>
      <c r="C55" s="603"/>
      <c r="D55" s="604"/>
      <c r="E55" s="605"/>
      <c r="F55" s="606"/>
      <c r="G55" s="164"/>
      <c r="H55" s="164"/>
    </row>
    <row r="56" spans="2:8" ht="13.5">
      <c r="B56" s="53">
        <v>2</v>
      </c>
      <c r="C56" s="603"/>
      <c r="D56" s="604"/>
      <c r="E56" s="605"/>
      <c r="F56" s="606"/>
      <c r="G56" s="164"/>
      <c r="H56" s="164"/>
    </row>
    <row r="59" spans="1:20" s="2" customFormat="1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2" customFormat="1" ht="12.75" customHeight="1">
      <c r="A60" s="13" t="s">
        <v>12</v>
      </c>
      <c r="B60" s="13"/>
      <c r="C60" s="13"/>
      <c r="D60" s="13"/>
      <c r="E60" s="13"/>
      <c r="F60" s="13"/>
      <c r="G60" s="13"/>
      <c r="I60" s="13"/>
      <c r="O60" s="602" t="s">
        <v>13</v>
      </c>
      <c r="P60" s="602"/>
      <c r="Q60" s="602"/>
      <c r="R60" s="602"/>
      <c r="S60" s="602"/>
      <c r="T60" s="602"/>
    </row>
    <row r="61" spans="1:20" s="2" customFormat="1" ht="12.75" customHeight="1">
      <c r="A61" s="79" t="s">
        <v>14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ht="12.75" customHeight="1">
      <c r="A62" s="79" t="s">
        <v>94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4:17" ht="12.75">
      <c r="N63" s="579" t="s">
        <v>86</v>
      </c>
      <c r="O63" s="579"/>
      <c r="P63" s="579"/>
      <c r="Q63" s="579"/>
    </row>
  </sheetData>
  <sheetProtection/>
  <mergeCells count="185">
    <mergeCell ref="O60:T60"/>
    <mergeCell ref="C55:D55"/>
    <mergeCell ref="C56:D56"/>
    <mergeCell ref="E54:F54"/>
    <mergeCell ref="E55:F55"/>
    <mergeCell ref="E56:F56"/>
    <mergeCell ref="C54:D54"/>
    <mergeCell ref="H45:H46"/>
    <mergeCell ref="K40:L40"/>
    <mergeCell ref="B40:D40"/>
    <mergeCell ref="B41:D41"/>
    <mergeCell ref="I40:J40"/>
    <mergeCell ref="I41:J41"/>
    <mergeCell ref="M41:N41"/>
    <mergeCell ref="O41:P41"/>
    <mergeCell ref="A15:G15"/>
    <mergeCell ref="C16:D16"/>
    <mergeCell ref="A16:B16"/>
    <mergeCell ref="A17:B17"/>
    <mergeCell ref="C17:D17"/>
    <mergeCell ref="M37:N37"/>
    <mergeCell ref="K41:L41"/>
    <mergeCell ref="B39:D39"/>
    <mergeCell ref="K39:L39"/>
    <mergeCell ref="M39:N39"/>
    <mergeCell ref="O39:P39"/>
    <mergeCell ref="M38:N38"/>
    <mergeCell ref="O38:P38"/>
    <mergeCell ref="O40:P40"/>
    <mergeCell ref="M40:N40"/>
    <mergeCell ref="E39:F39"/>
    <mergeCell ref="E40:F40"/>
    <mergeCell ref="E41:F41"/>
    <mergeCell ref="E36:J36"/>
    <mergeCell ref="G39:H39"/>
    <mergeCell ref="G40:H40"/>
    <mergeCell ref="G41:H41"/>
    <mergeCell ref="I37:J37"/>
    <mergeCell ref="I38:J38"/>
    <mergeCell ref="I39:J39"/>
    <mergeCell ref="B38:D38"/>
    <mergeCell ref="G37:H37"/>
    <mergeCell ref="G38:H38"/>
    <mergeCell ref="K36:P36"/>
    <mergeCell ref="K37:L37"/>
    <mergeCell ref="E37:F37"/>
    <mergeCell ref="E38:F38"/>
    <mergeCell ref="B36:D37"/>
    <mergeCell ref="O37:P37"/>
    <mergeCell ref="K38:L38"/>
    <mergeCell ref="M31:N31"/>
    <mergeCell ref="Q31:R31"/>
    <mergeCell ref="S31:T31"/>
    <mergeCell ref="O31:P31"/>
    <mergeCell ref="S36:T36"/>
    <mergeCell ref="M32:N32"/>
    <mergeCell ref="O32:P32"/>
    <mergeCell ref="Q32:R32"/>
    <mergeCell ref="Q25:R25"/>
    <mergeCell ref="S25:T25"/>
    <mergeCell ref="Q24:R24"/>
    <mergeCell ref="S24:T24"/>
    <mergeCell ref="S32:T32"/>
    <mergeCell ref="Q30:R30"/>
    <mergeCell ref="Q26:R26"/>
    <mergeCell ref="S23:T23"/>
    <mergeCell ref="M23:N23"/>
    <mergeCell ref="K23:L23"/>
    <mergeCell ref="O26:P26"/>
    <mergeCell ref="K26:L26"/>
    <mergeCell ref="O25:P25"/>
    <mergeCell ref="Q23:R23"/>
    <mergeCell ref="M24:N24"/>
    <mergeCell ref="O24:P24"/>
    <mergeCell ref="S26:T26"/>
    <mergeCell ref="E31:F31"/>
    <mergeCell ref="K30:L30"/>
    <mergeCell ref="S28:T28"/>
    <mergeCell ref="O28:P28"/>
    <mergeCell ref="E27:F27"/>
    <mergeCell ref="G27:H27"/>
    <mergeCell ref="E30:F30"/>
    <mergeCell ref="S27:T27"/>
    <mergeCell ref="K28:L28"/>
    <mergeCell ref="M28:N28"/>
    <mergeCell ref="G25:H25"/>
    <mergeCell ref="M27:N27"/>
    <mergeCell ref="I25:J25"/>
    <mergeCell ref="I30:J30"/>
    <mergeCell ref="K29:L29"/>
    <mergeCell ref="I29:J29"/>
    <mergeCell ref="G30:H30"/>
    <mergeCell ref="M25:N25"/>
    <mergeCell ref="M26:N26"/>
    <mergeCell ref="K25:L25"/>
    <mergeCell ref="K32:L32"/>
    <mergeCell ref="H9:I9"/>
    <mergeCell ref="S30:T30"/>
    <mergeCell ref="Q29:R29"/>
    <mergeCell ref="S29:T29"/>
    <mergeCell ref="M29:N29"/>
    <mergeCell ref="O29:P29"/>
    <mergeCell ref="M30:N30"/>
    <mergeCell ref="O30:P30"/>
    <mergeCell ref="Q27:R27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N63:Q63"/>
    <mergeCell ref="J9:K9"/>
    <mergeCell ref="J13:K13"/>
    <mergeCell ref="J11:K11"/>
    <mergeCell ref="I27:J27"/>
    <mergeCell ref="K27:L27"/>
    <mergeCell ref="A44:I44"/>
    <mergeCell ref="B27:D27"/>
    <mergeCell ref="I32:J32"/>
    <mergeCell ref="B29:D29"/>
    <mergeCell ref="A45:A46"/>
    <mergeCell ref="D12:E12"/>
    <mergeCell ref="F12:G12"/>
    <mergeCell ref="B45:D45"/>
    <mergeCell ref="E45:G45"/>
    <mergeCell ref="E26:F26"/>
    <mergeCell ref="G26:H26"/>
    <mergeCell ref="B30:D30"/>
    <mergeCell ref="B32:D32"/>
    <mergeCell ref="E32:F32"/>
    <mergeCell ref="D10:E10"/>
    <mergeCell ref="F10:G10"/>
    <mergeCell ref="H10:I10"/>
    <mergeCell ref="E23:F23"/>
    <mergeCell ref="G23:H23"/>
    <mergeCell ref="B26:D26"/>
    <mergeCell ref="I26:J26"/>
    <mergeCell ref="I23:J23"/>
    <mergeCell ref="G24:H24"/>
    <mergeCell ref="I24:J24"/>
    <mergeCell ref="B12:C12"/>
    <mergeCell ref="H13:I13"/>
    <mergeCell ref="H12:I12"/>
    <mergeCell ref="G32:H32"/>
    <mergeCell ref="J12:K12"/>
    <mergeCell ref="D13:E13"/>
    <mergeCell ref="G31:H31"/>
    <mergeCell ref="K31:L31"/>
    <mergeCell ref="I31:J31"/>
    <mergeCell ref="I28:J28"/>
    <mergeCell ref="A18:B18"/>
    <mergeCell ref="J10:K10"/>
    <mergeCell ref="C18:D18"/>
    <mergeCell ref="B11:C11"/>
    <mergeCell ref="D11:E11"/>
    <mergeCell ref="B13:C13"/>
    <mergeCell ref="B10:C10"/>
    <mergeCell ref="F13:G13"/>
    <mergeCell ref="F11:G11"/>
    <mergeCell ref="H11:I11"/>
    <mergeCell ref="B34:H34"/>
    <mergeCell ref="B31:D31"/>
    <mergeCell ref="A21:S21"/>
    <mergeCell ref="E25:F25"/>
    <mergeCell ref="B24:D24"/>
    <mergeCell ref="B25:D25"/>
    <mergeCell ref="E24:F24"/>
    <mergeCell ref="K24:L24"/>
    <mergeCell ref="O27:P27"/>
    <mergeCell ref="B28:D28"/>
    <mergeCell ref="M22:T22"/>
    <mergeCell ref="A22:A23"/>
    <mergeCell ref="B22:D23"/>
    <mergeCell ref="E22:L22"/>
    <mergeCell ref="E29:F29"/>
    <mergeCell ref="G29:H29"/>
    <mergeCell ref="E28:F28"/>
    <mergeCell ref="G28:H28"/>
    <mergeCell ref="Q28:R28"/>
    <mergeCell ref="O23:P23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5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75" zoomScaleSheetLayoutView="75" zoomScalePageLayoutView="0" workbookViewId="0" topLeftCell="A9">
      <selection activeCell="H18" sqref="H18"/>
    </sheetView>
  </sheetViews>
  <sheetFormatPr defaultColWidth="9.140625" defaultRowHeight="12.75"/>
  <cols>
    <col min="1" max="1" width="5.28125" style="13" customWidth="1"/>
    <col min="2" max="2" width="8.57421875" style="13" customWidth="1"/>
    <col min="3" max="3" width="32.140625" style="13" customWidth="1"/>
    <col min="4" max="4" width="15.140625" style="13" customWidth="1"/>
    <col min="5" max="5" width="11.7109375" style="13" customWidth="1"/>
    <col min="6" max="6" width="26.8515625" style="13" customWidth="1"/>
    <col min="7" max="7" width="41.28125" style="13" customWidth="1"/>
    <col min="8" max="8" width="12.57421875" style="13" customWidth="1"/>
    <col min="9" max="9" width="11.8515625" style="13" customWidth="1"/>
    <col min="10" max="10" width="12.00390625" style="13" customWidth="1"/>
    <col min="11" max="11" width="11.8515625" style="13" customWidth="1"/>
    <col min="12" max="12" width="20.140625" style="13" customWidth="1"/>
    <col min="13" max="16384" width="9.140625" style="13" customWidth="1"/>
  </cols>
  <sheetData>
    <row r="1" spans="1:11" ht="12.75">
      <c r="A1" s="13" t="s">
        <v>11</v>
      </c>
      <c r="H1" s="52" t="s">
        <v>708</v>
      </c>
      <c r="K1" s="3"/>
    </row>
    <row r="2" spans="1:9" s="12" customFormat="1" ht="15">
      <c r="A2" s="582" t="s">
        <v>0</v>
      </c>
      <c r="B2" s="582"/>
      <c r="C2" s="582"/>
      <c r="D2" s="582"/>
      <c r="E2" s="582"/>
      <c r="F2" s="582"/>
      <c r="G2" s="582"/>
      <c r="H2" s="582"/>
      <c r="I2" s="582"/>
    </row>
    <row r="3" spans="1:12" s="12" customFormat="1" ht="20.25" customHeight="1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33"/>
      <c r="K3" s="33"/>
      <c r="L3" s="33"/>
    </row>
    <row r="5" spans="1:12" s="12" customFormat="1" ht="15">
      <c r="A5" s="745" t="s">
        <v>707</v>
      </c>
      <c r="B5" s="745"/>
      <c r="C5" s="745"/>
      <c r="D5" s="745"/>
      <c r="E5" s="745"/>
      <c r="F5" s="745"/>
      <c r="G5" s="745"/>
      <c r="H5" s="745"/>
      <c r="I5" s="745"/>
      <c r="J5" s="273"/>
      <c r="K5" s="273"/>
      <c r="L5" s="273"/>
    </row>
    <row r="7" spans="1:3" ht="12.75">
      <c r="A7" s="579" t="s">
        <v>181</v>
      </c>
      <c r="B7" s="579"/>
      <c r="C7" s="13" t="s">
        <v>645</v>
      </c>
    </row>
    <row r="9" spans="1:11" ht="13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7:13" ht="12.75">
      <c r="G10" s="367" t="s">
        <v>843</v>
      </c>
      <c r="K10" s="52"/>
      <c r="L10" s="52"/>
      <c r="M10" s="52"/>
    </row>
    <row r="11" spans="1:7" ht="39.75" customHeight="1">
      <c r="A11" s="80"/>
      <c r="B11" s="746" t="s">
        <v>301</v>
      </c>
      <c r="C11" s="746" t="s">
        <v>302</v>
      </c>
      <c r="D11" s="748" t="s">
        <v>303</v>
      </c>
      <c r="E11" s="749"/>
      <c r="F11" s="749"/>
      <c r="G11" s="750"/>
    </row>
    <row r="12" spans="1:7" ht="42.75" customHeight="1">
      <c r="A12" s="127"/>
      <c r="B12" s="747"/>
      <c r="C12" s="747"/>
      <c r="D12" s="130" t="s">
        <v>304</v>
      </c>
      <c r="E12" s="130" t="s">
        <v>305</v>
      </c>
      <c r="F12" s="130" t="s">
        <v>306</v>
      </c>
      <c r="G12" s="130" t="s">
        <v>19</v>
      </c>
    </row>
    <row r="13" spans="1:7" ht="13.5">
      <c r="A13" s="127"/>
      <c r="B13" s="131" t="s">
        <v>288</v>
      </c>
      <c r="C13" s="131" t="s">
        <v>289</v>
      </c>
      <c r="D13" s="131" t="s">
        <v>290</v>
      </c>
      <c r="E13" s="131" t="s">
        <v>291</v>
      </c>
      <c r="F13" s="131" t="s">
        <v>292</v>
      </c>
      <c r="G13" s="247" t="s">
        <v>293</v>
      </c>
    </row>
    <row r="14" spans="2:12" s="132" customFormat="1" ht="15" customHeight="1">
      <c r="B14" s="106" t="s">
        <v>31</v>
      </c>
      <c r="C14" s="248" t="s">
        <v>310</v>
      </c>
      <c r="D14" s="249"/>
      <c r="E14" s="249"/>
      <c r="F14" s="249"/>
      <c r="G14" s="251"/>
      <c r="H14" s="249"/>
      <c r="I14" s="249"/>
      <c r="J14" s="249"/>
      <c r="K14" s="249"/>
      <c r="L14" s="250"/>
    </row>
    <row r="15" spans="2:7" s="132" customFormat="1" ht="27.75" customHeight="1">
      <c r="B15" s="51"/>
      <c r="C15" s="368" t="s">
        <v>658</v>
      </c>
      <c r="D15" s="215">
        <v>1</v>
      </c>
      <c r="E15" s="215">
        <v>0</v>
      </c>
      <c r="F15" s="215">
        <v>0</v>
      </c>
      <c r="G15" s="215">
        <f aca="true" t="shared" si="0" ref="G15:G20">SUM(D15:F15)</f>
        <v>1</v>
      </c>
    </row>
    <row r="16" spans="1:7" ht="30.75" customHeight="1">
      <c r="A16" s="38"/>
      <c r="B16" s="51"/>
      <c r="C16" s="369" t="s">
        <v>659</v>
      </c>
      <c r="D16" s="370">
        <v>1</v>
      </c>
      <c r="E16" s="370">
        <v>4</v>
      </c>
      <c r="F16" s="215">
        <v>0</v>
      </c>
      <c r="G16" s="370">
        <f t="shared" si="0"/>
        <v>5</v>
      </c>
    </row>
    <row r="17" spans="2:7" ht="30" customHeight="1">
      <c r="B17" s="51"/>
      <c r="C17" s="369" t="s">
        <v>660</v>
      </c>
      <c r="D17" s="370">
        <v>0</v>
      </c>
      <c r="E17" s="370">
        <v>3</v>
      </c>
      <c r="F17" s="215">
        <v>0</v>
      </c>
      <c r="G17" s="370">
        <f t="shared" si="0"/>
        <v>3</v>
      </c>
    </row>
    <row r="18" spans="2:7" s="2" customFormat="1" ht="24" customHeight="1">
      <c r="B18" s="51"/>
      <c r="C18" s="369" t="s">
        <v>661</v>
      </c>
      <c r="D18" s="370">
        <v>1</v>
      </c>
      <c r="E18" s="370">
        <v>4</v>
      </c>
      <c r="F18" s="370">
        <v>1</v>
      </c>
      <c r="G18" s="370">
        <f t="shared" si="0"/>
        <v>6</v>
      </c>
    </row>
    <row r="19" spans="2:7" s="2" customFormat="1" ht="23.25" customHeight="1">
      <c r="B19" s="51"/>
      <c r="C19" s="369" t="s">
        <v>831</v>
      </c>
      <c r="D19" s="370">
        <v>0</v>
      </c>
      <c r="E19" s="370">
        <v>1</v>
      </c>
      <c r="F19" s="370">
        <v>1</v>
      </c>
      <c r="G19" s="370">
        <f t="shared" si="0"/>
        <v>2</v>
      </c>
    </row>
    <row r="20" spans="2:7" s="2" customFormat="1" ht="30" customHeight="1">
      <c r="B20" s="4"/>
      <c r="C20" s="369" t="s">
        <v>662</v>
      </c>
      <c r="D20" s="370">
        <v>0</v>
      </c>
      <c r="E20" s="370">
        <v>0</v>
      </c>
      <c r="F20" s="370">
        <v>0</v>
      </c>
      <c r="G20" s="370">
        <f t="shared" si="0"/>
        <v>0</v>
      </c>
    </row>
    <row r="21" spans="2:12" s="2" customFormat="1" ht="33" customHeight="1">
      <c r="B21" s="106" t="s">
        <v>35</v>
      </c>
      <c r="C21" s="248" t="s">
        <v>506</v>
      </c>
      <c r="D21" s="249"/>
      <c r="E21" s="249"/>
      <c r="F21" s="249"/>
      <c r="G21" s="251"/>
      <c r="H21" s="249"/>
      <c r="I21" s="249"/>
      <c r="J21" s="249"/>
      <c r="K21" s="249"/>
      <c r="L21" s="250"/>
    </row>
    <row r="22" spans="1:7" s="2" customFormat="1" ht="29.25" customHeight="1">
      <c r="A22" s="64" t="s">
        <v>300</v>
      </c>
      <c r="B22" s="209"/>
      <c r="C22" s="111" t="s">
        <v>663</v>
      </c>
      <c r="D22" s="209">
        <v>1</v>
      </c>
      <c r="E22" s="209">
        <v>0</v>
      </c>
      <c r="F22" s="209">
        <v>0</v>
      </c>
      <c r="G22" s="209"/>
    </row>
    <row r="23" spans="2:7" ht="27.75" customHeight="1">
      <c r="B23" s="106"/>
      <c r="C23" s="133" t="s">
        <v>664</v>
      </c>
      <c r="D23" s="106">
        <v>1</v>
      </c>
      <c r="E23" s="106">
        <v>4</v>
      </c>
      <c r="F23" s="106">
        <v>0</v>
      </c>
      <c r="G23" s="106"/>
    </row>
    <row r="24" spans="2:7" ht="9" customHeight="1">
      <c r="B24" s="23"/>
      <c r="C24" s="133"/>
      <c r="D24" s="106"/>
      <c r="E24" s="106"/>
      <c r="F24" s="106"/>
      <c r="G24" s="106"/>
    </row>
    <row r="28" ht="12.75" customHeight="1"/>
    <row r="29" ht="12.75" customHeight="1"/>
    <row r="30" ht="12.75" customHeight="1"/>
    <row r="33" spans="7:12" ht="12.75">
      <c r="G33" s="14" t="s">
        <v>709</v>
      </c>
      <c r="I33" s="602"/>
      <c r="J33" s="602"/>
      <c r="K33" s="602"/>
      <c r="L33" s="602"/>
    </row>
    <row r="34" spans="7:12" ht="12.75">
      <c r="G34" s="14" t="s">
        <v>710</v>
      </c>
      <c r="I34" s="602"/>
      <c r="J34" s="602"/>
      <c r="K34" s="602"/>
      <c r="L34" s="602"/>
    </row>
    <row r="35" spans="7:12" ht="12.75">
      <c r="G35" s="14" t="s">
        <v>711</v>
      </c>
      <c r="I35" s="602"/>
      <c r="J35" s="602"/>
      <c r="K35" s="602"/>
      <c r="L35" s="602"/>
    </row>
    <row r="36" ht="12.75">
      <c r="B36" s="13" t="s">
        <v>12</v>
      </c>
    </row>
  </sheetData>
  <sheetProtection/>
  <mergeCells count="10">
    <mergeCell ref="A5:I5"/>
    <mergeCell ref="A3:I3"/>
    <mergeCell ref="A2:I2"/>
    <mergeCell ref="I34:L34"/>
    <mergeCell ref="I35:L35"/>
    <mergeCell ref="B11:B12"/>
    <mergeCell ref="C11:C12"/>
    <mergeCell ref="D11:G11"/>
    <mergeCell ref="A7:B7"/>
    <mergeCell ref="I33:L33"/>
  </mergeCells>
  <printOptions horizontalCentered="1"/>
  <pageMargins left="0.708661417322835" right="0.708661417322835" top="0.826771653543307" bottom="0.19687500000000002" header="0.31496062992126" footer="0.31496062992126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14.421875" style="0" bestFit="1" customWidth="1"/>
    <col min="2" max="2" width="13.8515625" style="0" customWidth="1"/>
    <col min="3" max="3" width="12.8515625" style="0" customWidth="1"/>
    <col min="4" max="4" width="21.8515625" style="0" customWidth="1"/>
    <col min="5" max="5" width="17.140625" style="0" customWidth="1"/>
    <col min="6" max="6" width="20.421875" style="0" customWidth="1"/>
    <col min="7" max="7" width="33.00390625" style="0" customWidth="1"/>
  </cols>
  <sheetData>
    <row r="1" spans="1:7" ht="15">
      <c r="A1" s="650" t="s">
        <v>0</v>
      </c>
      <c r="B1" s="650"/>
      <c r="C1" s="650"/>
      <c r="D1" s="650"/>
      <c r="E1" s="650"/>
      <c r="F1" s="650"/>
      <c r="G1" s="308" t="s">
        <v>761</v>
      </c>
    </row>
    <row r="2" spans="1:7" ht="20.25">
      <c r="A2" s="736" t="s">
        <v>841</v>
      </c>
      <c r="B2" s="736"/>
      <c r="C2" s="736"/>
      <c r="D2" s="736"/>
      <c r="E2" s="736"/>
      <c r="F2" s="736"/>
      <c r="G2" s="736"/>
    </row>
    <row r="3" spans="1:2" ht="13.5">
      <c r="A3" s="120"/>
      <c r="B3" s="120"/>
    </row>
    <row r="4" spans="1:7" ht="15">
      <c r="A4" s="977" t="s">
        <v>762</v>
      </c>
      <c r="B4" s="977"/>
      <c r="C4" s="977"/>
      <c r="D4" s="977"/>
      <c r="E4" s="977"/>
      <c r="F4" s="977"/>
      <c r="G4" s="977"/>
    </row>
    <row r="5" spans="1:2" ht="13.5">
      <c r="A5" s="121" t="s">
        <v>675</v>
      </c>
      <c r="B5" s="121"/>
    </row>
    <row r="6" spans="1:7" ht="13.5">
      <c r="A6" s="121"/>
      <c r="B6" s="121"/>
      <c r="F6" s="653" t="s">
        <v>843</v>
      </c>
      <c r="G6" s="653"/>
    </row>
    <row r="7" spans="1:7" ht="54">
      <c r="A7" s="122" t="s">
        <v>2</v>
      </c>
      <c r="B7" s="283" t="s">
        <v>3</v>
      </c>
      <c r="C7" s="307" t="s">
        <v>763</v>
      </c>
      <c r="D7" s="307" t="s">
        <v>764</v>
      </c>
      <c r="E7" s="307" t="s">
        <v>765</v>
      </c>
      <c r="F7" s="307" t="s">
        <v>766</v>
      </c>
      <c r="G7" s="307" t="s">
        <v>929</v>
      </c>
    </row>
    <row r="8" spans="1:7" ht="13.5">
      <c r="A8" s="123" t="s">
        <v>288</v>
      </c>
      <c r="B8" s="123" t="s">
        <v>289</v>
      </c>
      <c r="C8" s="123" t="s">
        <v>290</v>
      </c>
      <c r="D8" s="123" t="s">
        <v>291</v>
      </c>
      <c r="E8" s="123" t="s">
        <v>292</v>
      </c>
      <c r="F8" s="123" t="s">
        <v>293</v>
      </c>
      <c r="G8" s="123" t="s">
        <v>294</v>
      </c>
    </row>
    <row r="9" spans="1:7" ht="22.5" customHeight="1">
      <c r="A9" s="203">
        <v>1</v>
      </c>
      <c r="B9" s="240" t="s">
        <v>632</v>
      </c>
      <c r="C9" s="313">
        <v>271</v>
      </c>
      <c r="D9" s="313">
        <v>271</v>
      </c>
      <c r="E9" s="313">
        <v>50</v>
      </c>
      <c r="F9" s="313">
        <v>0</v>
      </c>
      <c r="G9" s="313">
        <v>120</v>
      </c>
    </row>
    <row r="10" spans="1:7" ht="23.25" customHeight="1">
      <c r="A10" s="203">
        <v>2</v>
      </c>
      <c r="B10" s="240" t="s">
        <v>633</v>
      </c>
      <c r="C10" s="313">
        <v>243</v>
      </c>
      <c r="D10" s="313">
        <v>243</v>
      </c>
      <c r="E10" s="313">
        <v>10</v>
      </c>
      <c r="F10" s="313">
        <v>5</v>
      </c>
      <c r="G10" s="313">
        <v>87</v>
      </c>
    </row>
    <row r="11" spans="1:7" ht="18.75" customHeight="1">
      <c r="A11" s="203">
        <v>3</v>
      </c>
      <c r="B11" s="240" t="s">
        <v>634</v>
      </c>
      <c r="C11" s="313">
        <v>95</v>
      </c>
      <c r="D11" s="313">
        <v>95</v>
      </c>
      <c r="E11" s="313">
        <v>10</v>
      </c>
      <c r="F11" s="313">
        <v>7</v>
      </c>
      <c r="G11" s="313">
        <v>10</v>
      </c>
    </row>
    <row r="12" spans="1:7" ht="18.75" customHeight="1">
      <c r="A12" s="203">
        <v>4</v>
      </c>
      <c r="B12" s="240" t="s">
        <v>635</v>
      </c>
      <c r="C12" s="313">
        <v>259</v>
      </c>
      <c r="D12" s="313">
        <v>259</v>
      </c>
      <c r="E12" s="313">
        <v>5</v>
      </c>
      <c r="F12" s="313">
        <v>6</v>
      </c>
      <c r="G12" s="313">
        <v>30</v>
      </c>
    </row>
    <row r="13" spans="1:7" ht="23.25" customHeight="1">
      <c r="A13" s="312"/>
      <c r="B13" s="311" t="s">
        <v>19</v>
      </c>
      <c r="C13" s="315">
        <f>SUM(C9:C12)</f>
        <v>868</v>
      </c>
      <c r="D13" s="315">
        <f>SUM(D9:D12)</f>
        <v>868</v>
      </c>
      <c r="E13" s="315">
        <f>SUM(E9:E12)</f>
        <v>75</v>
      </c>
      <c r="F13" s="315">
        <f>SUM(F9:F12)</f>
        <v>18</v>
      </c>
      <c r="G13" s="204">
        <f>SUM(G9:G12)</f>
        <v>247</v>
      </c>
    </row>
    <row r="14" spans="1:7" ht="12">
      <c r="A14" s="309"/>
      <c r="B14" s="309"/>
      <c r="C14" s="310"/>
      <c r="D14" s="310"/>
      <c r="E14" s="310"/>
      <c r="F14" s="310"/>
      <c r="G14" s="310"/>
    </row>
    <row r="15" spans="3:8" ht="12">
      <c r="C15" s="978"/>
      <c r="D15" s="978"/>
      <c r="E15" s="978"/>
      <c r="F15" s="978"/>
      <c r="G15" s="978"/>
      <c r="H15" s="978"/>
    </row>
    <row r="16" spans="3:8" ht="12">
      <c r="C16" s="978"/>
      <c r="D16" s="978"/>
      <c r="E16" s="978"/>
      <c r="F16" s="978"/>
      <c r="G16" s="978"/>
      <c r="H16" s="978"/>
    </row>
    <row r="17" spans="3:8" ht="12">
      <c r="C17" s="978"/>
      <c r="D17" s="978"/>
      <c r="E17" s="978"/>
      <c r="F17" s="978"/>
      <c r="G17" s="978"/>
      <c r="H17" s="978"/>
    </row>
    <row r="18" ht="12.75">
      <c r="A18" s="125"/>
    </row>
    <row r="21" spans="1:7" ht="12.75">
      <c r="A21" s="13"/>
      <c r="B21" s="13"/>
      <c r="C21" s="13"/>
      <c r="D21" s="13"/>
      <c r="E21" s="13"/>
      <c r="F21" s="602" t="s">
        <v>13</v>
      </c>
      <c r="G21" s="602"/>
    </row>
    <row r="22" spans="1:7" ht="12.75">
      <c r="A22" s="13"/>
      <c r="B22" s="13"/>
      <c r="C22" s="13"/>
      <c r="D22" s="13"/>
      <c r="E22" s="13"/>
      <c r="F22" s="602" t="s">
        <v>14</v>
      </c>
      <c r="G22" s="602"/>
    </row>
    <row r="23" spans="1:7" ht="12.75">
      <c r="A23" s="13"/>
      <c r="B23" s="13"/>
      <c r="C23" s="13"/>
      <c r="D23" s="13"/>
      <c r="E23" s="13"/>
      <c r="F23" s="602" t="s">
        <v>89</v>
      </c>
      <c r="G23" s="602"/>
    </row>
    <row r="24" spans="1:7" ht="12.75">
      <c r="A24" s="13" t="s">
        <v>12</v>
      </c>
      <c r="C24" s="13"/>
      <c r="D24" s="13"/>
      <c r="E24" s="13"/>
      <c r="F24" s="585" t="s">
        <v>86</v>
      </c>
      <c r="G24" s="585"/>
    </row>
  </sheetData>
  <sheetProtection/>
  <mergeCells count="8">
    <mergeCell ref="F23:G23"/>
    <mergeCell ref="F24:G24"/>
    <mergeCell ref="A1:F1"/>
    <mergeCell ref="A2:G2"/>
    <mergeCell ref="A4:G4"/>
    <mergeCell ref="F6:G6"/>
    <mergeCell ref="F21:G21"/>
    <mergeCell ref="F22:G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G9" sqref="G9"/>
    </sheetView>
  </sheetViews>
  <sheetFormatPr defaultColWidth="9.140625" defaultRowHeight="12.75"/>
  <cols>
    <col min="2" max="2" width="12.140625" style="0" customWidth="1"/>
    <col min="3" max="3" width="21.421875" style="0" customWidth="1"/>
    <col min="4" max="4" width="20.57421875" style="0" customWidth="1"/>
    <col min="5" max="6" width="11.421875" style="0" customWidth="1"/>
    <col min="7" max="7" width="13.140625" style="0" customWidth="1"/>
    <col min="8" max="8" width="18.7109375" style="0" customWidth="1"/>
  </cols>
  <sheetData>
    <row r="1" spans="1:8" ht="15">
      <c r="A1" s="650" t="s">
        <v>0</v>
      </c>
      <c r="B1" s="650"/>
      <c r="C1" s="650"/>
      <c r="D1" s="650"/>
      <c r="E1" s="650"/>
      <c r="F1" s="650"/>
      <c r="G1" s="650"/>
      <c r="H1" s="118" t="s">
        <v>826</v>
      </c>
    </row>
    <row r="2" spans="1:8" ht="20.25">
      <c r="A2" s="736" t="s">
        <v>841</v>
      </c>
      <c r="B2" s="736"/>
      <c r="C2" s="736"/>
      <c r="D2" s="736"/>
      <c r="E2" s="736"/>
      <c r="F2" s="736"/>
      <c r="G2" s="736"/>
      <c r="H2" s="736"/>
    </row>
    <row r="3" spans="1:2" ht="13.5">
      <c r="A3" s="120"/>
      <c r="B3" s="120"/>
    </row>
    <row r="4" spans="1:8" ht="18" customHeight="1">
      <c r="A4" s="652" t="s">
        <v>842</v>
      </c>
      <c r="B4" s="652"/>
      <c r="C4" s="652"/>
      <c r="D4" s="652"/>
      <c r="E4" s="652"/>
      <c r="F4" s="652"/>
      <c r="G4" s="652"/>
      <c r="H4" s="652"/>
    </row>
    <row r="5" spans="1:2" ht="13.5">
      <c r="A5" s="121" t="s">
        <v>644</v>
      </c>
      <c r="B5" s="121"/>
    </row>
    <row r="6" spans="1:8" ht="13.5">
      <c r="A6" s="121"/>
      <c r="B6" s="121"/>
      <c r="F6" s="653" t="s">
        <v>843</v>
      </c>
      <c r="G6" s="653"/>
      <c r="H6" s="653"/>
    </row>
    <row r="7" spans="1:8" ht="55.5" customHeight="1">
      <c r="A7" s="283" t="s">
        <v>2</v>
      </c>
      <c r="B7" s="283" t="s">
        <v>3</v>
      </c>
      <c r="C7" s="307" t="s">
        <v>835</v>
      </c>
      <c r="D7" s="307" t="s">
        <v>836</v>
      </c>
      <c r="E7" s="307" t="s">
        <v>837</v>
      </c>
      <c r="F7" s="307" t="s">
        <v>838</v>
      </c>
      <c r="G7" s="372" t="s">
        <v>839</v>
      </c>
      <c r="H7" s="183" t="s">
        <v>840</v>
      </c>
    </row>
    <row r="8" spans="1:8" ht="14.25">
      <c r="A8" s="123" t="s">
        <v>288</v>
      </c>
      <c r="B8" s="123" t="s">
        <v>289</v>
      </c>
      <c r="C8" s="123" t="s">
        <v>290</v>
      </c>
      <c r="D8" s="123" t="s">
        <v>291</v>
      </c>
      <c r="E8" s="123" t="s">
        <v>292</v>
      </c>
      <c r="F8" s="123" t="s">
        <v>293</v>
      </c>
      <c r="G8" s="373" t="s">
        <v>294</v>
      </c>
      <c r="H8" s="141">
        <v>8</v>
      </c>
    </row>
    <row r="9" spans="1:8" ht="34.5" customHeight="1">
      <c r="A9" s="227">
        <v>1</v>
      </c>
      <c r="B9" s="234" t="s">
        <v>646</v>
      </c>
      <c r="C9" s="235">
        <v>723</v>
      </c>
      <c r="D9" s="235">
        <v>115</v>
      </c>
      <c r="E9" s="235">
        <v>3</v>
      </c>
      <c r="F9" s="234" t="s">
        <v>926</v>
      </c>
      <c r="G9" s="373"/>
      <c r="H9" s="380" t="s">
        <v>927</v>
      </c>
    </row>
    <row r="10" spans="1:8" ht="38.25" customHeight="1">
      <c r="A10" s="227">
        <v>2</v>
      </c>
      <c r="B10" s="234" t="s">
        <v>647</v>
      </c>
      <c r="C10" s="235">
        <v>427</v>
      </c>
      <c r="D10" s="235">
        <v>0</v>
      </c>
      <c r="E10" s="235">
        <v>2</v>
      </c>
      <c r="F10" s="234" t="s">
        <v>926</v>
      </c>
      <c r="G10" s="373"/>
      <c r="H10" s="380" t="s">
        <v>927</v>
      </c>
    </row>
    <row r="11" spans="1:8" ht="35.25" customHeight="1">
      <c r="A11" s="227">
        <v>3</v>
      </c>
      <c r="B11" s="234" t="s">
        <v>648</v>
      </c>
      <c r="C11" s="235">
        <v>160</v>
      </c>
      <c r="D11" s="235">
        <v>55</v>
      </c>
      <c r="E11" s="235">
        <v>2</v>
      </c>
      <c r="F11" s="234" t="s">
        <v>926</v>
      </c>
      <c r="G11" s="373"/>
      <c r="H11" s="380" t="s">
        <v>927</v>
      </c>
    </row>
    <row r="12" spans="1:8" ht="37.5" customHeight="1">
      <c r="A12" s="227">
        <v>4</v>
      </c>
      <c r="B12" s="234" t="s">
        <v>649</v>
      </c>
      <c r="C12" s="235">
        <v>571</v>
      </c>
      <c r="D12" s="235">
        <v>0</v>
      </c>
      <c r="E12" s="235">
        <v>3</v>
      </c>
      <c r="F12" s="234" t="s">
        <v>926</v>
      </c>
      <c r="G12" s="373"/>
      <c r="H12" s="380" t="s">
        <v>927</v>
      </c>
    </row>
    <row r="13" spans="1:8" ht="39" customHeight="1">
      <c r="A13" s="227"/>
      <c r="B13" s="234" t="s">
        <v>625</v>
      </c>
      <c r="C13" s="235">
        <f>SUM(C9:C12)</f>
        <v>1881</v>
      </c>
      <c r="D13" s="235">
        <f>SUM(D9:D12)</f>
        <v>170</v>
      </c>
      <c r="E13" s="235">
        <f>SUM(E9:E12)</f>
        <v>10</v>
      </c>
      <c r="F13" s="234" t="s">
        <v>926</v>
      </c>
      <c r="G13" s="373"/>
      <c r="H13" s="380" t="s">
        <v>927</v>
      </c>
    </row>
    <row r="14" spans="1:8" ht="14.25">
      <c r="A14" s="255"/>
      <c r="B14" s="374"/>
      <c r="C14" s="374"/>
      <c r="D14" s="374"/>
      <c r="E14" s="374"/>
      <c r="F14" s="374"/>
      <c r="G14" s="374"/>
      <c r="H14" s="118"/>
    </row>
    <row r="15" spans="1:8" ht="14.25">
      <c r="A15" s="255"/>
      <c r="B15" s="374"/>
      <c r="C15" s="374"/>
      <c r="D15" s="374"/>
      <c r="E15" s="374"/>
      <c r="F15" s="374"/>
      <c r="G15" s="374"/>
      <c r="H15" s="118"/>
    </row>
    <row r="16" spans="1:8" ht="14.25">
      <c r="A16" s="255"/>
      <c r="B16" s="374"/>
      <c r="C16" s="374"/>
      <c r="D16" s="374"/>
      <c r="E16" s="374"/>
      <c r="F16" s="374"/>
      <c r="G16" s="374"/>
      <c r="H16" s="118"/>
    </row>
    <row r="17" spans="1:7" ht="14.25">
      <c r="A17" s="255"/>
      <c r="C17" s="184"/>
      <c r="D17" s="184"/>
      <c r="E17" s="184"/>
      <c r="F17" s="184"/>
      <c r="G17" s="184"/>
    </row>
    <row r="18" spans="7:10" ht="12.75">
      <c r="G18" s="668" t="s">
        <v>13</v>
      </c>
      <c r="H18" s="668"/>
      <c r="I18" s="64"/>
      <c r="J18" s="64"/>
    </row>
    <row r="19" spans="7:10" ht="12.75">
      <c r="G19" s="668" t="s">
        <v>14</v>
      </c>
      <c r="H19" s="668"/>
      <c r="I19" s="668"/>
      <c r="J19" s="668"/>
    </row>
    <row r="20" spans="1:10" ht="12.75">
      <c r="A20" t="s">
        <v>168</v>
      </c>
      <c r="G20" s="668" t="s">
        <v>89</v>
      </c>
      <c r="H20" s="668"/>
      <c r="I20" s="668"/>
      <c r="J20" s="668"/>
    </row>
    <row r="21" spans="7:10" ht="12.75">
      <c r="G21" s="751" t="s">
        <v>86</v>
      </c>
      <c r="H21" s="751"/>
      <c r="I21" s="64"/>
      <c r="J21" s="64"/>
    </row>
  </sheetData>
  <sheetProtection/>
  <mergeCells count="8">
    <mergeCell ref="G20:J20"/>
    <mergeCell ref="G21:H21"/>
    <mergeCell ref="A1:G1"/>
    <mergeCell ref="A2:H2"/>
    <mergeCell ref="A4:H4"/>
    <mergeCell ref="F6:H6"/>
    <mergeCell ref="G18:H18"/>
    <mergeCell ref="G19:J19"/>
  </mergeCells>
  <printOptions horizontalCentered="1" verticalCentered="1"/>
  <pageMargins left="0.905511811023622" right="0.511811023622047" top="0.9448818897637801" bottom="0.748031496062992" header="0.31496062992126" footer="0.31496062992126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74" zoomScaleSheetLayoutView="74" zoomScalePageLayoutView="0" workbookViewId="0" topLeftCell="A11">
      <selection activeCell="G24" sqref="G24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85"/>
      <c r="E1" s="585"/>
      <c r="H1" s="32"/>
      <c r="I1" s="664" t="s">
        <v>70</v>
      </c>
      <c r="J1" s="664"/>
    </row>
    <row r="2" spans="1:10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</row>
    <row r="4" ht="9.75" customHeight="1"/>
    <row r="5" spans="1:11" s="2" customFormat="1" ht="36.75" customHeight="1">
      <c r="A5" s="752" t="s">
        <v>473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</row>
    <row r="6" spans="1:10" s="2" customFormat="1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s="2" customFormat="1" ht="12.75">
      <c r="A7" s="579" t="s">
        <v>644</v>
      </c>
      <c r="B7" s="579"/>
      <c r="E7" s="697"/>
      <c r="F7" s="697"/>
      <c r="G7" s="697"/>
      <c r="H7" s="697"/>
      <c r="I7" s="697" t="s">
        <v>892</v>
      </c>
      <c r="J7" s="697"/>
      <c r="K7" s="697"/>
    </row>
    <row r="8" spans="3:10" s="12" customFormat="1" ht="15" hidden="1">
      <c r="C8" s="667" t="s">
        <v>16</v>
      </c>
      <c r="D8" s="667"/>
      <c r="E8" s="667"/>
      <c r="F8" s="667"/>
      <c r="G8" s="667"/>
      <c r="H8" s="667"/>
      <c r="I8" s="667"/>
      <c r="J8" s="667"/>
    </row>
    <row r="9" spans="1:11" ht="44.25" customHeight="1">
      <c r="A9" s="662" t="s">
        <v>26</v>
      </c>
      <c r="B9" s="662" t="s">
        <v>60</v>
      </c>
      <c r="C9" s="560" t="s">
        <v>504</v>
      </c>
      <c r="D9" s="561"/>
      <c r="E9" s="560" t="s">
        <v>40</v>
      </c>
      <c r="F9" s="561"/>
      <c r="G9" s="560" t="s">
        <v>41</v>
      </c>
      <c r="H9" s="561"/>
      <c r="I9" s="553" t="s">
        <v>110</v>
      </c>
      <c r="J9" s="553"/>
      <c r="K9" s="662" t="s">
        <v>11</v>
      </c>
    </row>
    <row r="10" spans="1:11" s="13" customFormat="1" ht="42" customHeight="1">
      <c r="A10" s="663"/>
      <c r="B10" s="663"/>
      <c r="C10" s="6" t="s">
        <v>42</v>
      </c>
      <c r="D10" s="6" t="s">
        <v>109</v>
      </c>
      <c r="E10" s="6" t="s">
        <v>42</v>
      </c>
      <c r="F10" s="6" t="s">
        <v>109</v>
      </c>
      <c r="G10" s="6" t="s">
        <v>42</v>
      </c>
      <c r="H10" s="6" t="s">
        <v>109</v>
      </c>
      <c r="I10" s="6" t="s">
        <v>146</v>
      </c>
      <c r="J10" s="6" t="s">
        <v>147</v>
      </c>
      <c r="K10" s="663"/>
    </row>
    <row r="11" spans="1:11" ht="12.7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4">
        <v>11</v>
      </c>
    </row>
    <row r="12" spans="1:11" ht="31.5" customHeight="1">
      <c r="A12" s="203">
        <v>1</v>
      </c>
      <c r="B12" s="219" t="s">
        <v>405</v>
      </c>
      <c r="C12" s="219">
        <v>800</v>
      </c>
      <c r="D12" s="219">
        <v>480</v>
      </c>
      <c r="E12" s="219">
        <v>245</v>
      </c>
      <c r="F12" s="219">
        <v>147</v>
      </c>
      <c r="G12" s="219">
        <v>0</v>
      </c>
      <c r="H12" s="219">
        <v>0</v>
      </c>
      <c r="I12" s="219">
        <v>0</v>
      </c>
      <c r="J12" s="100">
        <v>0</v>
      </c>
      <c r="K12" s="257"/>
    </row>
    <row r="13" spans="1:11" ht="33" customHeight="1">
      <c r="A13" s="203">
        <v>2</v>
      </c>
      <c r="B13" s="219" t="s">
        <v>406</v>
      </c>
      <c r="C13" s="219">
        <v>0</v>
      </c>
      <c r="D13" s="219">
        <v>0</v>
      </c>
      <c r="E13" s="219">
        <v>555</v>
      </c>
      <c r="F13" s="219">
        <v>333</v>
      </c>
      <c r="G13" s="219">
        <v>0</v>
      </c>
      <c r="H13" s="219">
        <v>0</v>
      </c>
      <c r="I13" s="219">
        <v>0</v>
      </c>
      <c r="J13" s="100">
        <v>0</v>
      </c>
      <c r="K13" s="257"/>
    </row>
    <row r="14" spans="1:11" ht="29.25" customHeight="1">
      <c r="A14" s="203">
        <v>3</v>
      </c>
      <c r="B14" s="219" t="s">
        <v>407</v>
      </c>
      <c r="C14" s="219">
        <v>59</v>
      </c>
      <c r="D14" s="219">
        <v>35.4</v>
      </c>
      <c r="E14" s="219">
        <v>59</v>
      </c>
      <c r="F14" s="219">
        <v>35.4</v>
      </c>
      <c r="G14" s="219">
        <v>0</v>
      </c>
      <c r="H14" s="219">
        <v>0</v>
      </c>
      <c r="I14" s="219">
        <v>0</v>
      </c>
      <c r="J14" s="100">
        <v>0</v>
      </c>
      <c r="K14" s="257"/>
    </row>
    <row r="15" spans="1:11" ht="27" customHeight="1">
      <c r="A15" s="203">
        <v>4</v>
      </c>
      <c r="B15" s="219" t="s">
        <v>408</v>
      </c>
      <c r="C15" s="219">
        <v>0</v>
      </c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100">
        <v>0</v>
      </c>
      <c r="K15" s="257"/>
    </row>
    <row r="16" spans="1:11" ht="27" customHeight="1">
      <c r="A16" s="203">
        <v>5</v>
      </c>
      <c r="B16" s="219" t="s">
        <v>409</v>
      </c>
      <c r="C16" s="219">
        <v>0</v>
      </c>
      <c r="D16" s="219">
        <v>0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100">
        <v>0</v>
      </c>
      <c r="K16" s="257"/>
    </row>
    <row r="17" spans="1:11" ht="31.5" customHeight="1">
      <c r="A17" s="203">
        <v>6</v>
      </c>
      <c r="B17" s="219" t="s">
        <v>410</v>
      </c>
      <c r="C17" s="219">
        <v>0</v>
      </c>
      <c r="D17" s="219">
        <v>0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100">
        <v>0</v>
      </c>
      <c r="K17" s="257"/>
    </row>
    <row r="18" spans="1:11" ht="28.5" customHeight="1">
      <c r="A18" s="203">
        <v>7</v>
      </c>
      <c r="B18" s="219" t="s">
        <v>411</v>
      </c>
      <c r="C18" s="219">
        <v>0</v>
      </c>
      <c r="D18" s="219">
        <v>0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100">
        <v>0</v>
      </c>
      <c r="K18" s="257"/>
    </row>
    <row r="19" spans="1:11" ht="29.25" customHeight="1">
      <c r="A19" s="203">
        <v>8</v>
      </c>
      <c r="B19" s="219" t="s">
        <v>279</v>
      </c>
      <c r="C19" s="219">
        <v>77</v>
      </c>
      <c r="D19" s="219">
        <v>168.94</v>
      </c>
      <c r="E19" s="219">
        <v>77</v>
      </c>
      <c r="F19" s="219">
        <v>168.94</v>
      </c>
      <c r="G19" s="219">
        <v>0</v>
      </c>
      <c r="H19" s="219">
        <v>0</v>
      </c>
      <c r="I19" s="219">
        <v>0</v>
      </c>
      <c r="J19" s="100">
        <v>0</v>
      </c>
      <c r="K19" s="257"/>
    </row>
    <row r="20" spans="1:11" ht="32.25" customHeight="1">
      <c r="A20" s="203">
        <v>9</v>
      </c>
      <c r="B20" s="219" t="s">
        <v>378</v>
      </c>
      <c r="C20" s="219">
        <v>0</v>
      </c>
      <c r="D20" s="219">
        <v>0</v>
      </c>
      <c r="E20" s="219">
        <v>0</v>
      </c>
      <c r="F20" s="219">
        <v>0</v>
      </c>
      <c r="G20" s="219">
        <v>0</v>
      </c>
      <c r="H20" s="219">
        <v>0</v>
      </c>
      <c r="I20" s="219">
        <v>0</v>
      </c>
      <c r="J20" s="100">
        <v>0</v>
      </c>
      <c r="K20" s="257"/>
    </row>
    <row r="21" spans="1:11" ht="27.75" customHeight="1">
      <c r="A21" s="203">
        <v>10</v>
      </c>
      <c r="B21" s="219" t="s">
        <v>379</v>
      </c>
      <c r="C21" s="219">
        <v>0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219">
        <v>0</v>
      </c>
      <c r="J21" s="100">
        <v>0</v>
      </c>
      <c r="K21" s="257"/>
    </row>
    <row r="22" spans="1:11" ht="29.25" customHeight="1">
      <c r="A22" s="203">
        <v>11</v>
      </c>
      <c r="B22" s="219" t="s">
        <v>516</v>
      </c>
      <c r="C22" s="219">
        <v>0</v>
      </c>
      <c r="D22" s="219">
        <v>0</v>
      </c>
      <c r="E22" s="219">
        <v>0</v>
      </c>
      <c r="F22" s="219">
        <v>0</v>
      </c>
      <c r="G22" s="219">
        <v>0</v>
      </c>
      <c r="H22" s="219">
        <v>0</v>
      </c>
      <c r="I22" s="219">
        <v>0</v>
      </c>
      <c r="J22" s="100">
        <v>0</v>
      </c>
      <c r="K22" s="257"/>
    </row>
    <row r="23" spans="1:11" ht="18.75" customHeight="1">
      <c r="A23" s="203">
        <v>12</v>
      </c>
      <c r="B23" s="100" t="s">
        <v>744</v>
      </c>
      <c r="C23" s="100">
        <v>12</v>
      </c>
      <c r="D23" s="100">
        <v>26.388</v>
      </c>
      <c r="E23" s="100">
        <v>4</v>
      </c>
      <c r="F23" s="100">
        <v>8.796</v>
      </c>
      <c r="G23" s="100">
        <v>8</v>
      </c>
      <c r="H23" s="100">
        <v>17.592</v>
      </c>
      <c r="I23" s="100">
        <v>0</v>
      </c>
      <c r="J23" s="100">
        <v>0</v>
      </c>
      <c r="K23" s="257"/>
    </row>
    <row r="24" spans="1:11" ht="21.75" customHeight="1">
      <c r="A24" s="106" t="s">
        <v>19</v>
      </c>
      <c r="B24" s="193"/>
      <c r="C24" s="106">
        <f aca="true" t="shared" si="0" ref="C24:J24">SUM(C12:C23)</f>
        <v>948</v>
      </c>
      <c r="D24" s="106">
        <f t="shared" si="0"/>
        <v>710.728</v>
      </c>
      <c r="E24" s="106">
        <f t="shared" si="0"/>
        <v>940</v>
      </c>
      <c r="F24" s="106">
        <f t="shared" si="0"/>
        <v>693.136</v>
      </c>
      <c r="G24" s="106">
        <f t="shared" si="0"/>
        <v>8</v>
      </c>
      <c r="H24" s="106">
        <f t="shared" si="0"/>
        <v>17.592</v>
      </c>
      <c r="I24" s="106">
        <f t="shared" si="0"/>
        <v>0</v>
      </c>
      <c r="J24" s="106">
        <f t="shared" si="0"/>
        <v>0</v>
      </c>
      <c r="K24" s="244"/>
    </row>
    <row r="25" ht="12">
      <c r="A25" s="11"/>
    </row>
    <row r="26" spans="1:16" s="2" customFormat="1" ht="13.5" customHeight="1">
      <c r="A26" s="11"/>
      <c r="B26"/>
      <c r="C26"/>
      <c r="D26"/>
      <c r="E26"/>
      <c r="F26"/>
      <c r="G26"/>
      <c r="H26"/>
      <c r="I26"/>
      <c r="J26"/>
      <c r="K26"/>
      <c r="L26" s="64"/>
      <c r="M26" s="64"/>
      <c r="N26" s="64"/>
      <c r="O26" s="64"/>
      <c r="P26" s="64"/>
    </row>
    <row r="27" spans="1:16" s="2" customFormat="1" ht="12.75" customHeight="1">
      <c r="A27" s="11"/>
      <c r="B27"/>
      <c r="C27"/>
      <c r="D27"/>
      <c r="E27"/>
      <c r="F27"/>
      <c r="G27"/>
      <c r="H27"/>
      <c r="I27"/>
      <c r="J27"/>
      <c r="K27"/>
      <c r="L27" s="64"/>
      <c r="M27" s="64"/>
      <c r="N27" s="64"/>
      <c r="O27" s="64"/>
      <c r="P27" s="64"/>
    </row>
    <row r="28" spans="1:16" s="2" customFormat="1" ht="12.75" customHeight="1">
      <c r="A28" s="11"/>
      <c r="B28"/>
      <c r="C28"/>
      <c r="D28"/>
      <c r="E28"/>
      <c r="F28"/>
      <c r="G28"/>
      <c r="H28"/>
      <c r="I28"/>
      <c r="J28"/>
      <c r="K28"/>
      <c r="L28" s="64"/>
      <c r="M28" s="64"/>
      <c r="N28" s="64"/>
      <c r="O28" s="64"/>
      <c r="P28" s="64"/>
    </row>
    <row r="29" spans="1:11" s="2" customFormat="1" ht="12">
      <c r="A29" s="11"/>
      <c r="B29"/>
      <c r="C29"/>
      <c r="D29"/>
      <c r="E29"/>
      <c r="F29"/>
      <c r="G29"/>
      <c r="H29"/>
      <c r="I29"/>
      <c r="J29"/>
      <c r="K29"/>
    </row>
    <row r="30" spans="1:11" s="2" customFormat="1" ht="12">
      <c r="A30" s="11"/>
      <c r="B30"/>
      <c r="C30"/>
      <c r="D30"/>
      <c r="E30"/>
      <c r="F30"/>
      <c r="G30"/>
      <c r="H30"/>
      <c r="I30"/>
      <c r="J30"/>
      <c r="K30"/>
    </row>
    <row r="31" ht="12">
      <c r="A31" s="11"/>
    </row>
    <row r="32" ht="12">
      <c r="A32" s="11"/>
    </row>
    <row r="33" ht="12">
      <c r="A33" s="11"/>
    </row>
    <row r="34" ht="12.75" customHeight="1">
      <c r="A34" s="11"/>
    </row>
    <row r="35" spans="1:11" ht="12.75" customHeight="1">
      <c r="A35" s="2"/>
      <c r="B35" s="64"/>
      <c r="C35" s="64"/>
      <c r="D35" s="64"/>
      <c r="E35" s="64"/>
      <c r="F35" s="64"/>
      <c r="G35" s="64"/>
      <c r="H35" s="64"/>
      <c r="I35" s="617" t="s">
        <v>13</v>
      </c>
      <c r="J35" s="617"/>
      <c r="K35" s="617"/>
    </row>
    <row r="36" spans="1:11" ht="12.75">
      <c r="A36" s="617" t="s">
        <v>14</v>
      </c>
      <c r="B36" s="617"/>
      <c r="C36" s="617"/>
      <c r="D36" s="617"/>
      <c r="E36" s="617"/>
      <c r="F36" s="617"/>
      <c r="G36" s="617"/>
      <c r="H36" s="617"/>
      <c r="I36" s="617"/>
      <c r="J36" s="617"/>
      <c r="K36" s="617"/>
    </row>
    <row r="37" spans="1:11" ht="12.75">
      <c r="A37" s="617" t="s">
        <v>20</v>
      </c>
      <c r="B37" s="617"/>
      <c r="C37" s="617"/>
      <c r="D37" s="617"/>
      <c r="E37" s="617"/>
      <c r="F37" s="617"/>
      <c r="G37" s="617"/>
      <c r="H37" s="617"/>
      <c r="I37" s="617"/>
      <c r="J37" s="617"/>
      <c r="K37" s="617"/>
    </row>
    <row r="38" spans="1:11" ht="12.75">
      <c r="A38" s="13" t="s">
        <v>23</v>
      </c>
      <c r="B38" s="13"/>
      <c r="C38" s="13"/>
      <c r="D38" s="13"/>
      <c r="E38" s="13"/>
      <c r="F38" s="13"/>
      <c r="G38" s="2"/>
      <c r="H38" s="585" t="s">
        <v>24</v>
      </c>
      <c r="I38" s="585"/>
      <c r="J38" s="2"/>
      <c r="K38" s="2"/>
    </row>
    <row r="39" spans="1:11" ht="12.75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0" ht="12">
      <c r="A40" s="654"/>
      <c r="B40" s="654"/>
      <c r="C40" s="654"/>
      <c r="D40" s="654"/>
      <c r="E40" s="654"/>
      <c r="F40" s="654"/>
      <c r="G40" s="654"/>
      <c r="H40" s="654"/>
      <c r="I40" s="654"/>
      <c r="J40" s="654"/>
    </row>
  </sheetData>
  <sheetProtection/>
  <mergeCells count="21">
    <mergeCell ref="D1:E1"/>
    <mergeCell ref="I1:J1"/>
    <mergeCell ref="A2:J2"/>
    <mergeCell ref="A3:J3"/>
    <mergeCell ref="A5:K5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H38:I38"/>
    <mergeCell ref="A40:J40"/>
    <mergeCell ref="I35:K35"/>
    <mergeCell ref="A36:K36"/>
    <mergeCell ref="A37:K3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90" zoomScaleSheetLayoutView="90" zoomScalePageLayoutView="0" workbookViewId="0" topLeftCell="A6">
      <selection activeCell="K17" sqref="K17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85"/>
      <c r="E1" s="585"/>
      <c r="H1" s="32"/>
      <c r="I1" s="664" t="s">
        <v>412</v>
      </c>
      <c r="J1" s="664"/>
    </row>
    <row r="2" spans="1:10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</row>
    <row r="4" ht="10.5" customHeight="1"/>
    <row r="5" spans="1:11" s="2" customFormat="1" ht="18.75" customHeight="1">
      <c r="A5" s="752" t="s">
        <v>474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</row>
    <row r="6" spans="1:10" s="2" customFormat="1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s="2" customFormat="1" ht="12.75">
      <c r="A7" s="579" t="s">
        <v>644</v>
      </c>
      <c r="B7" s="579"/>
      <c r="E7" s="697"/>
      <c r="F7" s="697"/>
      <c r="G7" s="697"/>
      <c r="H7" s="697"/>
      <c r="I7" s="697" t="s">
        <v>892</v>
      </c>
      <c r="J7" s="697"/>
      <c r="K7" s="697"/>
    </row>
    <row r="8" spans="3:10" s="12" customFormat="1" ht="15" hidden="1">
      <c r="C8" s="667" t="s">
        <v>16</v>
      </c>
      <c r="D8" s="667"/>
      <c r="E8" s="667"/>
      <c r="F8" s="667"/>
      <c r="G8" s="667"/>
      <c r="H8" s="667"/>
      <c r="I8" s="667"/>
      <c r="J8" s="667"/>
    </row>
    <row r="9" spans="1:18" ht="27.75" customHeight="1">
      <c r="A9" s="662" t="s">
        <v>26</v>
      </c>
      <c r="B9" s="662" t="s">
        <v>39</v>
      </c>
      <c r="C9" s="560" t="s">
        <v>742</v>
      </c>
      <c r="D9" s="561"/>
      <c r="E9" s="560" t="s">
        <v>40</v>
      </c>
      <c r="F9" s="561"/>
      <c r="G9" s="560" t="s">
        <v>41</v>
      </c>
      <c r="H9" s="561"/>
      <c r="I9" s="553" t="s">
        <v>110</v>
      </c>
      <c r="J9" s="553"/>
      <c r="K9" s="662" t="s">
        <v>264</v>
      </c>
      <c r="R9" s="10"/>
    </row>
    <row r="10" spans="1:11" s="13" customFormat="1" ht="42" customHeight="1">
      <c r="A10" s="663"/>
      <c r="B10" s="663"/>
      <c r="C10" s="6" t="s">
        <v>42</v>
      </c>
      <c r="D10" s="6" t="s">
        <v>109</v>
      </c>
      <c r="E10" s="6" t="s">
        <v>42</v>
      </c>
      <c r="F10" s="6" t="s">
        <v>109</v>
      </c>
      <c r="G10" s="6" t="s">
        <v>42</v>
      </c>
      <c r="H10" s="6" t="s">
        <v>109</v>
      </c>
      <c r="I10" s="6" t="s">
        <v>146</v>
      </c>
      <c r="J10" s="6" t="s">
        <v>147</v>
      </c>
      <c r="K10" s="663"/>
    </row>
    <row r="11" spans="1:11" ht="12.7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4">
        <v>11</v>
      </c>
    </row>
    <row r="12" spans="1:11" ht="36.75" customHeight="1">
      <c r="A12" s="100">
        <v>1</v>
      </c>
      <c r="B12" s="221" t="s">
        <v>632</v>
      </c>
      <c r="C12" s="435">
        <v>299</v>
      </c>
      <c r="D12" s="435">
        <v>223.7</v>
      </c>
      <c r="E12" s="435">
        <v>299</v>
      </c>
      <c r="F12" s="435">
        <v>223.7</v>
      </c>
      <c r="G12" s="435">
        <v>0</v>
      </c>
      <c r="H12" s="435">
        <v>0</v>
      </c>
      <c r="I12" s="221">
        <v>0</v>
      </c>
      <c r="J12" s="221">
        <v>0</v>
      </c>
      <c r="K12" s="4"/>
    </row>
    <row r="13" spans="1:11" ht="34.5" customHeight="1">
      <c r="A13" s="100">
        <v>2</v>
      </c>
      <c r="B13" s="221" t="s">
        <v>633</v>
      </c>
      <c r="C13" s="435">
        <v>267</v>
      </c>
      <c r="D13" s="435">
        <v>198.96</v>
      </c>
      <c r="E13" s="435">
        <v>266</v>
      </c>
      <c r="F13" s="435">
        <v>198.96</v>
      </c>
      <c r="G13" s="435">
        <v>0</v>
      </c>
      <c r="H13" s="435">
        <v>0</v>
      </c>
      <c r="I13" s="221">
        <v>0</v>
      </c>
      <c r="J13" s="221">
        <v>0</v>
      </c>
      <c r="K13" s="4"/>
    </row>
    <row r="14" spans="1:11" ht="41.25" customHeight="1">
      <c r="A14" s="100">
        <v>3</v>
      </c>
      <c r="B14" s="221" t="s">
        <v>634</v>
      </c>
      <c r="C14" s="435">
        <v>99</v>
      </c>
      <c r="D14" s="435">
        <v>59.4</v>
      </c>
      <c r="E14" s="435">
        <v>99</v>
      </c>
      <c r="F14" s="435">
        <v>59.4</v>
      </c>
      <c r="G14" s="435">
        <v>0</v>
      </c>
      <c r="H14" s="435">
        <v>0</v>
      </c>
      <c r="I14" s="221">
        <v>0</v>
      </c>
      <c r="J14" s="221">
        <v>0</v>
      </c>
      <c r="K14" s="4"/>
    </row>
    <row r="15" spans="1:11" ht="39" customHeight="1">
      <c r="A15" s="100">
        <v>4</v>
      </c>
      <c r="B15" s="221" t="s">
        <v>635</v>
      </c>
      <c r="C15" s="435">
        <f>271+12</f>
        <v>283</v>
      </c>
      <c r="D15" s="435">
        <f>202.27+26.388</f>
        <v>228.65800000000002</v>
      </c>
      <c r="E15" s="435">
        <f>272+4</f>
        <v>276</v>
      </c>
      <c r="F15" s="435">
        <f>202.27+8.796</f>
        <v>211.066</v>
      </c>
      <c r="G15" s="435">
        <v>8</v>
      </c>
      <c r="H15" s="435">
        <v>17.592</v>
      </c>
      <c r="I15" s="221">
        <v>0</v>
      </c>
      <c r="J15" s="221">
        <v>0</v>
      </c>
      <c r="K15" s="4"/>
    </row>
    <row r="16" spans="1:11" ht="38.25" customHeight="1">
      <c r="A16" s="106"/>
      <c r="B16" s="106" t="s">
        <v>19</v>
      </c>
      <c r="C16" s="204">
        <f aca="true" t="shared" si="0" ref="C16:H16">SUM(C12:C15)</f>
        <v>948</v>
      </c>
      <c r="D16" s="204">
        <f t="shared" si="0"/>
        <v>710.718</v>
      </c>
      <c r="E16" s="204">
        <f t="shared" si="0"/>
        <v>940</v>
      </c>
      <c r="F16" s="204">
        <f t="shared" si="0"/>
        <v>693.126</v>
      </c>
      <c r="G16" s="436">
        <f t="shared" si="0"/>
        <v>8</v>
      </c>
      <c r="H16" s="436">
        <f t="shared" si="0"/>
        <v>17.592</v>
      </c>
      <c r="I16" s="221">
        <v>0</v>
      </c>
      <c r="J16" s="221">
        <v>0</v>
      </c>
      <c r="K16" s="10"/>
    </row>
    <row r="17" ht="12">
      <c r="A17" s="11" t="s">
        <v>43</v>
      </c>
    </row>
    <row r="18" ht="12">
      <c r="A18" s="11"/>
    </row>
    <row r="19" ht="12">
      <c r="A19" s="11"/>
    </row>
    <row r="20" ht="12">
      <c r="A20" s="11"/>
    </row>
    <row r="21" ht="12">
      <c r="A21" s="11"/>
    </row>
    <row r="22" ht="12">
      <c r="A22" s="11"/>
    </row>
    <row r="23" ht="12">
      <c r="A23" s="11"/>
    </row>
    <row r="24" ht="12">
      <c r="A24" s="11"/>
    </row>
    <row r="25" ht="12">
      <c r="A25" s="11"/>
    </row>
    <row r="26" ht="12">
      <c r="A26" s="11"/>
    </row>
    <row r="27" spans="1:11" ht="12.75">
      <c r="A27" s="2"/>
      <c r="B27" s="64"/>
      <c r="C27" s="64"/>
      <c r="D27" s="64"/>
      <c r="E27" s="64"/>
      <c r="F27" s="64"/>
      <c r="G27" s="64"/>
      <c r="H27" s="64"/>
      <c r="I27" s="617" t="s">
        <v>13</v>
      </c>
      <c r="J27" s="617"/>
      <c r="K27" s="617"/>
    </row>
    <row r="28" spans="1:11" ht="12.75" customHeight="1">
      <c r="A28" s="617" t="s">
        <v>14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</row>
    <row r="29" spans="1:11" ht="12.75" customHeight="1">
      <c r="A29" s="617" t="s">
        <v>20</v>
      </c>
      <c r="B29" s="617"/>
      <c r="C29" s="617"/>
      <c r="D29" s="617"/>
      <c r="E29" s="617"/>
      <c r="F29" s="617"/>
      <c r="G29" s="617"/>
      <c r="H29" s="617"/>
      <c r="I29" s="617"/>
      <c r="J29" s="617"/>
      <c r="K29" s="617"/>
    </row>
    <row r="30" spans="1:11" ht="12.75">
      <c r="A30" s="13" t="s">
        <v>23</v>
      </c>
      <c r="B30" s="13"/>
      <c r="C30" s="13"/>
      <c r="D30" s="13"/>
      <c r="E30" s="13"/>
      <c r="F30" s="13"/>
      <c r="G30" s="2"/>
      <c r="H30" s="585" t="s">
        <v>24</v>
      </c>
      <c r="I30" s="585"/>
      <c r="J30" s="2"/>
      <c r="K30" s="2"/>
    </row>
    <row r="31" spans="1:11" ht="12.7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0" ht="12">
      <c r="A32" s="654"/>
      <c r="B32" s="654"/>
      <c r="C32" s="654"/>
      <c r="D32" s="654"/>
      <c r="E32" s="654"/>
      <c r="F32" s="654"/>
      <c r="G32" s="654"/>
      <c r="H32" s="654"/>
      <c r="I32" s="654"/>
      <c r="J32" s="654"/>
    </row>
    <row r="33" spans="1:16" s="2" customFormat="1" ht="13.5" customHeight="1">
      <c r="A33"/>
      <c r="B33"/>
      <c r="C33"/>
      <c r="D33"/>
      <c r="E33"/>
      <c r="F33"/>
      <c r="G33"/>
      <c r="H33"/>
      <c r="I33"/>
      <c r="J33"/>
      <c r="K33"/>
      <c r="L33" s="64"/>
      <c r="M33" s="64"/>
      <c r="N33" s="64"/>
      <c r="O33" s="64"/>
      <c r="P33" s="64"/>
    </row>
    <row r="34" spans="1:16" s="2" customFormat="1" ht="12.75" customHeight="1">
      <c r="A34"/>
      <c r="B34"/>
      <c r="C34"/>
      <c r="D34"/>
      <c r="E34"/>
      <c r="F34"/>
      <c r="G34"/>
      <c r="H34"/>
      <c r="I34"/>
      <c r="J34"/>
      <c r="K34"/>
      <c r="L34" s="64"/>
      <c r="M34" s="64"/>
      <c r="N34" s="64"/>
      <c r="O34" s="64"/>
      <c r="P34" s="64"/>
    </row>
    <row r="35" spans="1:16" s="2" customFormat="1" ht="12.75" customHeight="1">
      <c r="A35"/>
      <c r="B35"/>
      <c r="C35"/>
      <c r="D35"/>
      <c r="E35"/>
      <c r="F35"/>
      <c r="G35"/>
      <c r="H35"/>
      <c r="I35"/>
      <c r="J35"/>
      <c r="K35"/>
      <c r="L35" s="64"/>
      <c r="M35" s="64"/>
      <c r="N35" s="64"/>
      <c r="O35" s="64"/>
      <c r="P35" s="64"/>
    </row>
    <row r="36" spans="1:11" s="2" customFormat="1" ht="12">
      <c r="A36"/>
      <c r="B36"/>
      <c r="C36"/>
      <c r="D36"/>
      <c r="E36"/>
      <c r="F36"/>
      <c r="G36"/>
      <c r="H36"/>
      <c r="I36"/>
      <c r="J36"/>
      <c r="K36"/>
    </row>
    <row r="37" spans="1:11" s="2" customFormat="1" ht="12">
      <c r="A37"/>
      <c r="B37"/>
      <c r="C37"/>
      <c r="D37"/>
      <c r="E37"/>
      <c r="F37"/>
      <c r="G37"/>
      <c r="H37"/>
      <c r="I37"/>
      <c r="J37"/>
      <c r="K37"/>
    </row>
  </sheetData>
  <sheetProtection/>
  <mergeCells count="21">
    <mergeCell ref="A5:K5"/>
    <mergeCell ref="A29:K29"/>
    <mergeCell ref="I1:J1"/>
    <mergeCell ref="G9:H9"/>
    <mergeCell ref="A7:B7"/>
    <mergeCell ref="A9:A10"/>
    <mergeCell ref="D1:E1"/>
    <mergeCell ref="I7:K7"/>
    <mergeCell ref="C8:J8"/>
    <mergeCell ref="E7:H7"/>
    <mergeCell ref="A2:J2"/>
    <mergeCell ref="A28:K28"/>
    <mergeCell ref="A3:J3"/>
    <mergeCell ref="K9:K10"/>
    <mergeCell ref="I9:J9"/>
    <mergeCell ref="A32:J32"/>
    <mergeCell ref="E9:F9"/>
    <mergeCell ref="C9:D9"/>
    <mergeCell ref="H30:I30"/>
    <mergeCell ref="B9:B10"/>
    <mergeCell ref="I27:K2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90" zoomScaleSheetLayoutView="90" zoomScalePageLayoutView="0" workbookViewId="0" topLeftCell="A10">
      <selection activeCell="N17" sqref="N17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85"/>
      <c r="E1" s="585"/>
      <c r="H1" s="32"/>
      <c r="J1" s="664" t="s">
        <v>71</v>
      </c>
      <c r="K1" s="664"/>
    </row>
    <row r="2" spans="1:10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18">
      <c r="A3" s="704" t="s">
        <v>841</v>
      </c>
      <c r="B3" s="704"/>
      <c r="C3" s="704"/>
      <c r="D3" s="704"/>
      <c r="E3" s="704"/>
      <c r="F3" s="704"/>
      <c r="G3" s="704"/>
      <c r="H3" s="704"/>
      <c r="I3" s="704"/>
      <c r="J3" s="704"/>
    </row>
    <row r="4" ht="10.5" customHeight="1"/>
    <row r="5" spans="1:12" s="2" customFormat="1" ht="15.75" customHeight="1">
      <c r="A5" s="753" t="s">
        <v>475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</row>
    <row r="6" spans="1:10" s="2" customFormat="1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s="2" customFormat="1" ht="12.75">
      <c r="A7" s="579" t="s">
        <v>644</v>
      </c>
      <c r="B7" s="579"/>
      <c r="I7" s="697" t="s">
        <v>893</v>
      </c>
      <c r="J7" s="697"/>
      <c r="K7" s="697"/>
    </row>
    <row r="8" spans="3:10" s="12" customFormat="1" ht="15" hidden="1">
      <c r="C8" s="667" t="s">
        <v>16</v>
      </c>
      <c r="D8" s="667"/>
      <c r="E8" s="667"/>
      <c r="F8" s="667"/>
      <c r="G8" s="667"/>
      <c r="H8" s="667"/>
      <c r="I8" s="667"/>
      <c r="J8" s="667"/>
    </row>
    <row r="9" spans="1:18" ht="53.25" customHeight="1">
      <c r="A9" s="662" t="s">
        <v>26</v>
      </c>
      <c r="B9" s="662" t="s">
        <v>39</v>
      </c>
      <c r="C9" s="560" t="s">
        <v>930</v>
      </c>
      <c r="D9" s="561"/>
      <c r="E9" s="560" t="s">
        <v>519</v>
      </c>
      <c r="F9" s="561"/>
      <c r="G9" s="560" t="s">
        <v>41</v>
      </c>
      <c r="H9" s="561"/>
      <c r="I9" s="553" t="s">
        <v>110</v>
      </c>
      <c r="J9" s="553"/>
      <c r="K9" s="662" t="s">
        <v>265</v>
      </c>
      <c r="R9" s="10"/>
    </row>
    <row r="10" spans="1:11" s="13" customFormat="1" ht="46.5" customHeight="1">
      <c r="A10" s="663"/>
      <c r="B10" s="663"/>
      <c r="C10" s="6" t="s">
        <v>42</v>
      </c>
      <c r="D10" s="6" t="s">
        <v>109</v>
      </c>
      <c r="E10" s="6" t="s">
        <v>42</v>
      </c>
      <c r="F10" s="6" t="s">
        <v>109</v>
      </c>
      <c r="G10" s="6" t="s">
        <v>42</v>
      </c>
      <c r="H10" s="6" t="s">
        <v>109</v>
      </c>
      <c r="I10" s="6" t="s">
        <v>146</v>
      </c>
      <c r="J10" s="6" t="s">
        <v>147</v>
      </c>
      <c r="K10" s="663"/>
    </row>
    <row r="11" spans="1:11" ht="1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1" ht="48" customHeight="1">
      <c r="A12" s="203">
        <v>1</v>
      </c>
      <c r="B12" s="100" t="s">
        <v>632</v>
      </c>
      <c r="C12" s="100">
        <v>271</v>
      </c>
      <c r="D12" s="100">
        <v>13.55</v>
      </c>
      <c r="E12" s="100">
        <v>271</v>
      </c>
      <c r="F12" s="100">
        <v>13.55</v>
      </c>
      <c r="G12" s="203">
        <v>0</v>
      </c>
      <c r="H12" s="203">
        <v>0</v>
      </c>
      <c r="I12" s="203">
        <v>0</v>
      </c>
      <c r="J12" s="203">
        <v>0</v>
      </c>
      <c r="K12" s="203"/>
    </row>
    <row r="13" spans="1:11" ht="54" customHeight="1">
      <c r="A13" s="203">
        <v>2</v>
      </c>
      <c r="B13" s="100" t="s">
        <v>633</v>
      </c>
      <c r="C13" s="100">
        <v>231</v>
      </c>
      <c r="D13" s="100">
        <v>11.55</v>
      </c>
      <c r="E13" s="100">
        <v>231</v>
      </c>
      <c r="F13" s="100">
        <v>11.55</v>
      </c>
      <c r="G13" s="203">
        <v>0</v>
      </c>
      <c r="H13" s="203">
        <v>0</v>
      </c>
      <c r="I13" s="203">
        <v>0</v>
      </c>
      <c r="J13" s="203">
        <v>0</v>
      </c>
      <c r="K13" s="203"/>
    </row>
    <row r="14" spans="1:11" ht="48.75" customHeight="1">
      <c r="A14" s="203">
        <v>3</v>
      </c>
      <c r="B14" s="100" t="s">
        <v>634</v>
      </c>
      <c r="C14" s="100">
        <v>152</v>
      </c>
      <c r="D14" s="100">
        <v>7.6</v>
      </c>
      <c r="E14" s="100">
        <v>152</v>
      </c>
      <c r="F14" s="100">
        <v>7.6</v>
      </c>
      <c r="G14" s="203">
        <v>0</v>
      </c>
      <c r="H14" s="203">
        <v>0</v>
      </c>
      <c r="I14" s="203">
        <v>0</v>
      </c>
      <c r="J14" s="203">
        <v>0</v>
      </c>
      <c r="K14" s="203"/>
    </row>
    <row r="15" spans="1:11" ht="47.25" customHeight="1">
      <c r="A15" s="203">
        <v>4</v>
      </c>
      <c r="B15" s="100" t="s">
        <v>635</v>
      </c>
      <c r="C15" s="100">
        <v>225</v>
      </c>
      <c r="D15" s="100">
        <v>11.25</v>
      </c>
      <c r="E15" s="100">
        <v>225</v>
      </c>
      <c r="F15" s="100">
        <v>11.25</v>
      </c>
      <c r="G15" s="203">
        <v>0</v>
      </c>
      <c r="H15" s="203">
        <v>0</v>
      </c>
      <c r="I15" s="203">
        <v>0</v>
      </c>
      <c r="J15" s="203">
        <v>0</v>
      </c>
      <c r="K15" s="203"/>
    </row>
    <row r="16" spans="1:14" ht="52.5" customHeight="1">
      <c r="A16" s="100"/>
      <c r="B16" s="106" t="s">
        <v>19</v>
      </c>
      <c r="C16" s="106">
        <f aca="true" t="shared" si="0" ref="C16:J16">SUM(C12:C15)</f>
        <v>879</v>
      </c>
      <c r="D16" s="106">
        <f t="shared" si="0"/>
        <v>43.95</v>
      </c>
      <c r="E16" s="106">
        <f t="shared" si="0"/>
        <v>879</v>
      </c>
      <c r="F16" s="106">
        <f t="shared" si="0"/>
        <v>43.95</v>
      </c>
      <c r="G16" s="106">
        <f t="shared" si="0"/>
        <v>0</v>
      </c>
      <c r="H16" s="106">
        <f t="shared" si="0"/>
        <v>0</v>
      </c>
      <c r="I16" s="106">
        <f t="shared" si="0"/>
        <v>0</v>
      </c>
      <c r="J16" s="106">
        <f t="shared" si="0"/>
        <v>0</v>
      </c>
      <c r="K16" s="106"/>
      <c r="N16">
        <f>C16*5000</f>
        <v>4395000</v>
      </c>
    </row>
    <row r="18" ht="12">
      <c r="A18" s="11" t="s">
        <v>43</v>
      </c>
    </row>
    <row r="19" spans="3:6" ht="15">
      <c r="C19" s="655"/>
      <c r="D19" s="655"/>
      <c r="E19" s="655"/>
      <c r="F19" s="655"/>
    </row>
    <row r="20" spans="3:6" ht="15">
      <c r="C20" s="194"/>
      <c r="D20" s="194"/>
      <c r="E20" s="194"/>
      <c r="F20" s="194"/>
    </row>
    <row r="21" spans="3:9" ht="15">
      <c r="C21" s="194"/>
      <c r="D21" s="194"/>
      <c r="E21" s="194"/>
      <c r="F21" s="194"/>
      <c r="I21" t="s">
        <v>626</v>
      </c>
    </row>
    <row r="22" spans="3:6" ht="15">
      <c r="C22" s="194"/>
      <c r="D22" s="194"/>
      <c r="E22" s="194"/>
      <c r="F22" s="194"/>
    </row>
    <row r="23" spans="3:6" ht="15">
      <c r="C23" s="194"/>
      <c r="D23" s="194"/>
      <c r="E23" s="194"/>
      <c r="F23" s="194"/>
    </row>
    <row r="24" spans="3:6" ht="15">
      <c r="C24" s="194"/>
      <c r="D24" s="194"/>
      <c r="E24" s="194"/>
      <c r="F24" s="194"/>
    </row>
    <row r="25" spans="3:6" ht="15">
      <c r="C25" s="194"/>
      <c r="D25" s="194"/>
      <c r="E25" s="194"/>
      <c r="F25" s="194"/>
    </row>
    <row r="26" spans="3:6" ht="15">
      <c r="C26" s="194"/>
      <c r="D26" s="194"/>
      <c r="E26" s="194"/>
      <c r="F26" s="194"/>
    </row>
    <row r="27" spans="3:6" ht="15">
      <c r="C27" s="194"/>
      <c r="D27" s="194"/>
      <c r="E27" s="194"/>
      <c r="F27" s="194"/>
    </row>
    <row r="28" spans="1:11" ht="12.75">
      <c r="A28" s="2"/>
      <c r="B28" s="64"/>
      <c r="C28" s="64"/>
      <c r="D28" s="64"/>
      <c r="E28" s="64"/>
      <c r="F28" s="64"/>
      <c r="G28" s="64"/>
      <c r="H28" s="64"/>
      <c r="I28" s="617" t="s">
        <v>13</v>
      </c>
      <c r="J28" s="617"/>
      <c r="K28" s="617"/>
    </row>
    <row r="29" spans="1:11" ht="12.75" customHeight="1">
      <c r="A29" s="617" t="s">
        <v>14</v>
      </c>
      <c r="B29" s="617"/>
      <c r="C29" s="617"/>
      <c r="D29" s="617"/>
      <c r="E29" s="617"/>
      <c r="F29" s="617"/>
      <c r="G29" s="617"/>
      <c r="H29" s="617"/>
      <c r="I29" s="617"/>
      <c r="J29" s="617"/>
      <c r="K29" s="617"/>
    </row>
    <row r="30" spans="1:11" ht="12.75" customHeight="1">
      <c r="A30" s="617" t="s">
        <v>20</v>
      </c>
      <c r="B30" s="617"/>
      <c r="C30" s="617"/>
      <c r="D30" s="617"/>
      <c r="E30" s="617"/>
      <c r="F30" s="617"/>
      <c r="G30" s="617"/>
      <c r="H30" s="617"/>
      <c r="I30" s="617"/>
      <c r="J30" s="617"/>
      <c r="K30" s="617"/>
    </row>
    <row r="31" spans="1:11" ht="15.75" customHeight="1">
      <c r="A31" s="13" t="s">
        <v>23</v>
      </c>
      <c r="B31" s="13"/>
      <c r="C31" s="13"/>
      <c r="D31" s="13"/>
      <c r="E31" s="13"/>
      <c r="F31" s="13"/>
      <c r="G31" s="2"/>
      <c r="H31" s="585" t="s">
        <v>24</v>
      </c>
      <c r="I31" s="585"/>
      <c r="J31" s="2"/>
      <c r="K31" s="2"/>
    </row>
    <row r="32" spans="1:16" s="2" customFormat="1" ht="13.5" customHeight="1">
      <c r="A32" s="13"/>
      <c r="L32" s="64"/>
      <c r="M32" s="64"/>
      <c r="N32" s="64"/>
      <c r="O32" s="64"/>
      <c r="P32" s="64"/>
    </row>
    <row r="33" spans="1:16" s="2" customFormat="1" ht="12.75" customHeight="1">
      <c r="A33" s="654"/>
      <c r="B33" s="654"/>
      <c r="C33" s="654"/>
      <c r="D33" s="654"/>
      <c r="E33" s="654"/>
      <c r="F33" s="654"/>
      <c r="G33" s="654"/>
      <c r="H33" s="654"/>
      <c r="I33" s="654"/>
      <c r="J33" s="654"/>
      <c r="K33"/>
      <c r="L33" s="64"/>
      <c r="M33" s="64"/>
      <c r="N33" s="64"/>
      <c r="O33" s="64"/>
      <c r="P33" s="64"/>
    </row>
    <row r="34" spans="1:16" s="2" customFormat="1" ht="12.75" customHeight="1">
      <c r="A34"/>
      <c r="B34"/>
      <c r="C34"/>
      <c r="D34"/>
      <c r="E34"/>
      <c r="F34"/>
      <c r="G34"/>
      <c r="H34"/>
      <c r="I34"/>
      <c r="J34"/>
      <c r="K34"/>
      <c r="L34" s="64"/>
      <c r="M34" s="64"/>
      <c r="N34" s="64"/>
      <c r="O34" s="64"/>
      <c r="P34" s="64"/>
    </row>
    <row r="35" spans="1:11" s="2" customFormat="1" ht="12">
      <c r="A35"/>
      <c r="B35"/>
      <c r="C35"/>
      <c r="D35"/>
      <c r="E35"/>
      <c r="F35"/>
      <c r="G35"/>
      <c r="H35"/>
      <c r="I35"/>
      <c r="J35"/>
      <c r="K35"/>
    </row>
    <row r="36" spans="1:11" s="2" customFormat="1" ht="12">
      <c r="A36"/>
      <c r="B36"/>
      <c r="C36"/>
      <c r="D36"/>
      <c r="E36"/>
      <c r="F36"/>
      <c r="G36"/>
      <c r="H36"/>
      <c r="I36"/>
      <c r="J36"/>
      <c r="K36"/>
    </row>
  </sheetData>
  <sheetProtection/>
  <mergeCells count="21">
    <mergeCell ref="A5:L5"/>
    <mergeCell ref="I7:K7"/>
    <mergeCell ref="G9:H9"/>
    <mergeCell ref="A7:B7"/>
    <mergeCell ref="C8:J8"/>
    <mergeCell ref="A33:J33"/>
    <mergeCell ref="A9:A10"/>
    <mergeCell ref="B9:B10"/>
    <mergeCell ref="E9:F9"/>
    <mergeCell ref="I28:K28"/>
    <mergeCell ref="J1:K1"/>
    <mergeCell ref="I9:J9"/>
    <mergeCell ref="D1:E1"/>
    <mergeCell ref="A2:J2"/>
    <mergeCell ref="A3:J3"/>
    <mergeCell ref="C9:D9"/>
    <mergeCell ref="H31:I31"/>
    <mergeCell ref="A30:K30"/>
    <mergeCell ref="A29:K29"/>
    <mergeCell ref="C19:F19"/>
    <mergeCell ref="K9:K10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81" zoomScaleSheetLayoutView="81" zoomScalePageLayoutView="0" workbookViewId="0" topLeftCell="A3">
      <selection activeCell="E16" activeCellId="1" sqref="G16 E16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85"/>
      <c r="E1" s="585"/>
      <c r="H1" s="32"/>
      <c r="J1" s="664" t="s">
        <v>520</v>
      </c>
      <c r="K1" s="664"/>
    </row>
    <row r="2" spans="1:10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18">
      <c r="A3" s="704" t="s">
        <v>841</v>
      </c>
      <c r="B3" s="704"/>
      <c r="C3" s="704"/>
      <c r="D3" s="704"/>
      <c r="E3" s="704"/>
      <c r="F3" s="704"/>
      <c r="G3" s="704"/>
      <c r="H3" s="704"/>
      <c r="I3" s="704"/>
      <c r="J3" s="704"/>
    </row>
    <row r="4" ht="10.5" customHeight="1"/>
    <row r="5" spans="1:12" s="2" customFormat="1" ht="15.75" customHeight="1">
      <c r="A5" s="754" t="s">
        <v>531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</row>
    <row r="6" spans="1:10" s="2" customFormat="1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s="2" customFormat="1" ht="12.75">
      <c r="A7" s="579" t="s">
        <v>644</v>
      </c>
      <c r="B7" s="579"/>
      <c r="I7" s="585" t="s">
        <v>894</v>
      </c>
      <c r="J7" s="585"/>
      <c r="K7" s="585"/>
    </row>
    <row r="8" spans="3:10" s="12" customFormat="1" ht="15" hidden="1">
      <c r="C8" s="667" t="s">
        <v>16</v>
      </c>
      <c r="D8" s="667"/>
      <c r="E8" s="667"/>
      <c r="F8" s="667"/>
      <c r="G8" s="667"/>
      <c r="H8" s="667"/>
      <c r="I8" s="667"/>
      <c r="J8" s="667"/>
    </row>
    <row r="9" spans="1:11" ht="53.25" customHeight="1">
      <c r="A9" s="662" t="s">
        <v>26</v>
      </c>
      <c r="B9" s="662" t="s">
        <v>39</v>
      </c>
      <c r="C9" s="560" t="s">
        <v>931</v>
      </c>
      <c r="D9" s="561"/>
      <c r="E9" s="560" t="s">
        <v>519</v>
      </c>
      <c r="F9" s="561"/>
      <c r="G9" s="560" t="s">
        <v>41</v>
      </c>
      <c r="H9" s="561"/>
      <c r="I9" s="553" t="s">
        <v>110</v>
      </c>
      <c r="J9" s="553"/>
      <c r="K9" s="662" t="s">
        <v>265</v>
      </c>
    </row>
    <row r="10" spans="1:11" s="13" customFormat="1" ht="46.5" customHeight="1">
      <c r="A10" s="663"/>
      <c r="B10" s="663"/>
      <c r="C10" s="6" t="s">
        <v>42</v>
      </c>
      <c r="D10" s="6" t="s">
        <v>109</v>
      </c>
      <c r="E10" s="6" t="s">
        <v>42</v>
      </c>
      <c r="F10" s="6" t="s">
        <v>109</v>
      </c>
      <c r="G10" s="6" t="s">
        <v>42</v>
      </c>
      <c r="H10" s="6" t="s">
        <v>109</v>
      </c>
      <c r="I10" s="6" t="s">
        <v>146</v>
      </c>
      <c r="J10" s="6" t="s">
        <v>147</v>
      </c>
      <c r="K10" s="663"/>
    </row>
    <row r="11" spans="1:14" ht="12.75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  <c r="G11" s="180">
        <v>7</v>
      </c>
      <c r="H11" s="180">
        <v>8</v>
      </c>
      <c r="I11" s="180">
        <v>9</v>
      </c>
      <c r="J11" s="180">
        <v>10</v>
      </c>
      <c r="K11" s="180">
        <v>11</v>
      </c>
      <c r="N11" s="314"/>
    </row>
    <row r="12" spans="1:14" ht="38.25" customHeight="1">
      <c r="A12" s="203">
        <v>1</v>
      </c>
      <c r="B12" s="100" t="s">
        <v>632</v>
      </c>
      <c r="C12" s="219">
        <v>436</v>
      </c>
      <c r="D12" s="219">
        <f>C12*0.05</f>
        <v>21.8</v>
      </c>
      <c r="E12" s="313">
        <v>302</v>
      </c>
      <c r="F12" s="219">
        <f>E12*0.05</f>
        <v>15.100000000000001</v>
      </c>
      <c r="G12" s="313">
        <v>134</v>
      </c>
      <c r="H12" s="313">
        <f>G12*0.05</f>
        <v>6.7</v>
      </c>
      <c r="I12" s="203">
        <v>0</v>
      </c>
      <c r="J12" s="203">
        <v>0</v>
      </c>
      <c r="K12" s="203"/>
      <c r="L12" s="314"/>
      <c r="M12" s="314"/>
      <c r="N12" s="314"/>
    </row>
    <row r="13" spans="1:14" ht="33.75" customHeight="1">
      <c r="A13" s="203">
        <v>2</v>
      </c>
      <c r="B13" s="100" t="s">
        <v>633</v>
      </c>
      <c r="C13" s="219">
        <v>352</v>
      </c>
      <c r="D13" s="219">
        <f>C13*0.05</f>
        <v>17.6</v>
      </c>
      <c r="E13" s="313">
        <v>225</v>
      </c>
      <c r="F13" s="219">
        <f>E13*0.05</f>
        <v>11.25</v>
      </c>
      <c r="G13" s="313">
        <v>127</v>
      </c>
      <c r="H13" s="313">
        <f>G13*0.05</f>
        <v>6.3500000000000005</v>
      </c>
      <c r="I13" s="203">
        <v>0</v>
      </c>
      <c r="J13" s="203">
        <v>0</v>
      </c>
      <c r="K13" s="203"/>
      <c r="L13" s="314"/>
      <c r="M13" s="314"/>
      <c r="N13" s="314"/>
    </row>
    <row r="14" spans="1:14" ht="35.25" customHeight="1">
      <c r="A14" s="203">
        <v>3</v>
      </c>
      <c r="B14" s="100" t="s">
        <v>634</v>
      </c>
      <c r="C14" s="219">
        <v>170</v>
      </c>
      <c r="D14" s="219">
        <f>C14*0.05</f>
        <v>8.5</v>
      </c>
      <c r="E14" s="313">
        <v>121</v>
      </c>
      <c r="F14" s="219">
        <f>E14*0.05</f>
        <v>6.050000000000001</v>
      </c>
      <c r="G14" s="313">
        <v>49</v>
      </c>
      <c r="H14" s="313">
        <f>G14*0.05</f>
        <v>2.45</v>
      </c>
      <c r="I14" s="203">
        <v>0</v>
      </c>
      <c r="J14" s="203">
        <v>0</v>
      </c>
      <c r="K14" s="203"/>
      <c r="L14" s="314"/>
      <c r="M14" s="314"/>
      <c r="N14" s="314"/>
    </row>
    <row r="15" spans="1:14" ht="39" customHeight="1">
      <c r="A15" s="203">
        <v>4</v>
      </c>
      <c r="B15" s="100" t="s">
        <v>635</v>
      </c>
      <c r="C15" s="219">
        <v>361</v>
      </c>
      <c r="D15" s="219">
        <f>C15*0.05</f>
        <v>18.05</v>
      </c>
      <c r="E15" s="313">
        <v>228</v>
      </c>
      <c r="F15" s="219">
        <f>E15*0.05</f>
        <v>11.4</v>
      </c>
      <c r="G15" s="313">
        <v>133</v>
      </c>
      <c r="H15" s="313">
        <f>G15*0.05</f>
        <v>6.65</v>
      </c>
      <c r="I15" s="203">
        <v>0</v>
      </c>
      <c r="J15" s="203">
        <v>0</v>
      </c>
      <c r="K15" s="203"/>
      <c r="L15" s="314"/>
      <c r="M15" s="314"/>
      <c r="N15" s="314"/>
    </row>
    <row r="16" spans="1:14" ht="35.25" customHeight="1">
      <c r="A16" s="106"/>
      <c r="B16" s="106" t="s">
        <v>19</v>
      </c>
      <c r="C16" s="204">
        <f aca="true" t="shared" si="0" ref="C16:H16">SUM(C12:C15)</f>
        <v>1319</v>
      </c>
      <c r="D16" s="204">
        <f t="shared" si="0"/>
        <v>65.95</v>
      </c>
      <c r="E16" s="204">
        <f t="shared" si="0"/>
        <v>876</v>
      </c>
      <c r="F16" s="204">
        <f t="shared" si="0"/>
        <v>43.800000000000004</v>
      </c>
      <c r="G16" s="204">
        <f t="shared" si="0"/>
        <v>443</v>
      </c>
      <c r="H16" s="204">
        <f t="shared" si="0"/>
        <v>22.15</v>
      </c>
      <c r="I16" s="106">
        <v>0</v>
      </c>
      <c r="J16" s="106">
        <v>0</v>
      </c>
      <c r="K16" s="106"/>
      <c r="L16" s="386"/>
      <c r="M16" s="314"/>
      <c r="N16" s="314"/>
    </row>
    <row r="18" ht="12">
      <c r="A18" s="11" t="s">
        <v>43</v>
      </c>
    </row>
    <row r="19" ht="12">
      <c r="A19" s="11"/>
    </row>
    <row r="20" ht="12">
      <c r="A20" s="11"/>
    </row>
    <row r="21" ht="12">
      <c r="A21" s="11"/>
    </row>
    <row r="22" ht="12">
      <c r="A22" s="11"/>
    </row>
    <row r="23" ht="12">
      <c r="A23" s="11"/>
    </row>
    <row r="24" ht="12">
      <c r="A24" s="11"/>
    </row>
    <row r="25" spans="3:6" ht="15">
      <c r="C25" s="655"/>
      <c r="D25" s="655"/>
      <c r="E25" s="655"/>
      <c r="F25" s="655"/>
    </row>
    <row r="26" spans="1:11" ht="12.75">
      <c r="A26" s="2"/>
      <c r="B26" s="64"/>
      <c r="C26" s="64"/>
      <c r="D26" s="64"/>
      <c r="E26" s="64"/>
      <c r="F26" s="64"/>
      <c r="G26" s="64"/>
      <c r="H26" s="64"/>
      <c r="I26" s="617" t="s">
        <v>13</v>
      </c>
      <c r="J26" s="617"/>
      <c r="K26" s="617"/>
    </row>
    <row r="27" spans="1:11" ht="12.75" customHeight="1">
      <c r="A27" s="617" t="s">
        <v>14</v>
      </c>
      <c r="B27" s="617"/>
      <c r="C27" s="617"/>
      <c r="D27" s="617"/>
      <c r="E27" s="617"/>
      <c r="F27" s="617"/>
      <c r="G27" s="617"/>
      <c r="H27" s="617"/>
      <c r="I27" s="617"/>
      <c r="J27" s="617"/>
      <c r="K27" s="617"/>
    </row>
    <row r="28" spans="1:11" ht="12.75" customHeight="1">
      <c r="A28" s="617" t="s">
        <v>20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</row>
    <row r="29" spans="1:11" ht="12.75">
      <c r="A29" s="13" t="s">
        <v>23</v>
      </c>
      <c r="B29" s="13"/>
      <c r="C29" s="13"/>
      <c r="D29" s="13"/>
      <c r="E29" s="13"/>
      <c r="F29" s="13"/>
      <c r="G29" s="2"/>
      <c r="H29" s="585" t="s">
        <v>24</v>
      </c>
      <c r="I29" s="585"/>
      <c r="J29" s="585"/>
      <c r="K29" s="585"/>
    </row>
    <row r="30" spans="1:11" ht="12.7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0" ht="15.75" customHeight="1">
      <c r="A31" s="654"/>
      <c r="B31" s="654"/>
      <c r="C31" s="654"/>
      <c r="D31" s="654"/>
      <c r="E31" s="654"/>
      <c r="F31" s="654"/>
      <c r="G31" s="654"/>
      <c r="H31" s="654"/>
      <c r="I31" s="654"/>
      <c r="J31" s="654"/>
    </row>
    <row r="32" spans="1:16" s="2" customFormat="1" ht="13.5" customHeight="1">
      <c r="A32"/>
      <c r="B32"/>
      <c r="C32"/>
      <c r="D32"/>
      <c r="E32"/>
      <c r="F32"/>
      <c r="G32"/>
      <c r="H32"/>
      <c r="I32"/>
      <c r="J32"/>
      <c r="K32"/>
      <c r="L32" s="64"/>
      <c r="M32" s="64"/>
      <c r="N32" s="64"/>
      <c r="O32" s="64"/>
      <c r="P32" s="64"/>
    </row>
    <row r="33" spans="1:16" s="2" customFormat="1" ht="12.75" customHeight="1">
      <c r="A33"/>
      <c r="B33"/>
      <c r="C33"/>
      <c r="D33"/>
      <c r="E33"/>
      <c r="F33"/>
      <c r="G33"/>
      <c r="H33"/>
      <c r="I33"/>
      <c r="J33"/>
      <c r="K33"/>
      <c r="L33" s="64"/>
      <c r="M33" s="64"/>
      <c r="N33" s="64"/>
      <c r="O33" s="64"/>
      <c r="P33" s="64"/>
    </row>
    <row r="34" spans="1:16" s="2" customFormat="1" ht="12.75" customHeight="1">
      <c r="A34"/>
      <c r="B34"/>
      <c r="C34"/>
      <c r="D34"/>
      <c r="E34"/>
      <c r="F34"/>
      <c r="G34"/>
      <c r="H34"/>
      <c r="I34"/>
      <c r="J34"/>
      <c r="K34"/>
      <c r="L34" s="64"/>
      <c r="M34" s="64"/>
      <c r="N34" s="64"/>
      <c r="O34" s="64"/>
      <c r="P34" s="64"/>
    </row>
    <row r="35" spans="1:11" s="2" customFormat="1" ht="12">
      <c r="A35"/>
      <c r="B35"/>
      <c r="C35"/>
      <c r="D35"/>
      <c r="E35"/>
      <c r="F35"/>
      <c r="G35"/>
      <c r="H35"/>
      <c r="I35"/>
      <c r="J35"/>
      <c r="K35"/>
    </row>
    <row r="36" spans="1:11" s="2" customFormat="1" ht="12">
      <c r="A36"/>
      <c r="B36"/>
      <c r="C36"/>
      <c r="D36"/>
      <c r="E36"/>
      <c r="F36"/>
      <c r="G36"/>
      <c r="H36"/>
      <c r="I36"/>
      <c r="J36"/>
      <c r="K36"/>
    </row>
  </sheetData>
  <sheetProtection/>
  <mergeCells count="21">
    <mergeCell ref="D1:E1"/>
    <mergeCell ref="J1:K1"/>
    <mergeCell ref="A2:J2"/>
    <mergeCell ref="A3:J3"/>
    <mergeCell ref="A5:L5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H29:K29"/>
    <mergeCell ref="A31:J31"/>
    <mergeCell ref="K9:K10"/>
    <mergeCell ref="C25:F25"/>
    <mergeCell ref="I26:K26"/>
    <mergeCell ref="A27:K27"/>
    <mergeCell ref="A28:K28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0" zoomScaleSheetLayoutView="90" zoomScalePageLayoutView="0" workbookViewId="0" topLeftCell="A3">
      <selection activeCell="D16" sqref="D16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184" customWidth="1"/>
    <col min="5" max="7" width="18.421875" style="184" customWidth="1"/>
  </cols>
  <sheetData>
    <row r="1" ht="12.75">
      <c r="G1" s="189" t="s">
        <v>712</v>
      </c>
    </row>
    <row r="2" spans="1:14" ht="15">
      <c r="A2" s="650" t="s">
        <v>0</v>
      </c>
      <c r="B2" s="650"/>
      <c r="C2" s="650"/>
      <c r="D2" s="650"/>
      <c r="E2" s="650"/>
      <c r="F2" s="650"/>
      <c r="G2" s="650"/>
      <c r="H2" s="134"/>
      <c r="I2" s="134"/>
      <c r="J2" s="134"/>
      <c r="K2" s="134"/>
      <c r="L2" s="134"/>
      <c r="M2" s="134"/>
      <c r="N2" s="134"/>
    </row>
    <row r="3" spans="1:14" ht="20.25">
      <c r="A3" s="736" t="s">
        <v>841</v>
      </c>
      <c r="B3" s="736"/>
      <c r="C3" s="736"/>
      <c r="D3" s="736"/>
      <c r="E3" s="736"/>
      <c r="F3" s="736"/>
      <c r="G3" s="736"/>
      <c r="H3" s="135"/>
      <c r="I3" s="135"/>
      <c r="J3" s="135"/>
      <c r="K3" s="135"/>
      <c r="L3" s="135"/>
      <c r="M3" s="135"/>
      <c r="N3" s="135"/>
    </row>
    <row r="4" spans="1:14" ht="13.5">
      <c r="A4" s="120"/>
      <c r="B4" s="120"/>
      <c r="C4" s="120"/>
      <c r="D4" s="181"/>
      <c r="E4" s="181"/>
      <c r="F4" s="181"/>
      <c r="G4" s="181"/>
      <c r="H4" s="120"/>
      <c r="I4" s="120"/>
      <c r="J4" s="120"/>
      <c r="K4" s="120"/>
      <c r="L4" s="120"/>
      <c r="M4" s="120"/>
      <c r="N4" s="120"/>
    </row>
    <row r="5" spans="1:14" ht="15">
      <c r="A5" s="650" t="s">
        <v>713</v>
      </c>
      <c r="B5" s="650"/>
      <c r="C5" s="650"/>
      <c r="D5" s="650"/>
      <c r="E5" s="650"/>
      <c r="F5" s="650"/>
      <c r="G5" s="650"/>
      <c r="H5" s="134"/>
      <c r="I5" s="134"/>
      <c r="J5" s="134"/>
      <c r="K5" s="134"/>
      <c r="L5" s="134"/>
      <c r="M5" s="134"/>
      <c r="N5" s="134"/>
    </row>
    <row r="6" spans="1:14" ht="13.5">
      <c r="A6" s="121" t="s">
        <v>643</v>
      </c>
      <c r="B6" s="121"/>
      <c r="C6" s="120"/>
      <c r="D6" s="181"/>
      <c r="E6" s="181"/>
      <c r="F6" s="760" t="s">
        <v>843</v>
      </c>
      <c r="G6" s="760"/>
      <c r="H6" s="120"/>
      <c r="I6" s="120"/>
      <c r="J6" s="120"/>
      <c r="K6" s="136"/>
      <c r="L6" s="136"/>
      <c r="M6" s="758"/>
      <c r="N6" s="758"/>
    </row>
    <row r="7" spans="1:7" ht="31.5" customHeight="1">
      <c r="A7" s="739" t="s">
        <v>2</v>
      </c>
      <c r="B7" s="739" t="s">
        <v>3</v>
      </c>
      <c r="C7" s="759" t="s">
        <v>420</v>
      </c>
      <c r="D7" s="755" t="s">
        <v>537</v>
      </c>
      <c r="E7" s="756"/>
      <c r="F7" s="756"/>
      <c r="G7" s="757"/>
    </row>
    <row r="8" spans="1:7" ht="26.25" customHeight="1">
      <c r="A8" s="739"/>
      <c r="B8" s="739"/>
      <c r="C8" s="759"/>
      <c r="D8" s="182" t="s">
        <v>538</v>
      </c>
      <c r="E8" s="182" t="s">
        <v>539</v>
      </c>
      <c r="F8" s="182" t="s">
        <v>540</v>
      </c>
      <c r="G8" s="182" t="s">
        <v>49</v>
      </c>
    </row>
    <row r="9" spans="1:7" ht="13.5">
      <c r="A9" s="137">
        <v>1</v>
      </c>
      <c r="B9" s="137">
        <v>2</v>
      </c>
      <c r="C9" s="137">
        <v>3</v>
      </c>
      <c r="D9" s="183">
        <v>6</v>
      </c>
      <c r="E9" s="183">
        <v>7</v>
      </c>
      <c r="F9" s="183">
        <v>8</v>
      </c>
      <c r="G9" s="183">
        <v>9</v>
      </c>
    </row>
    <row r="10" spans="1:7" ht="36" customHeight="1">
      <c r="A10" s="215">
        <v>1</v>
      </c>
      <c r="B10" s="215" t="s">
        <v>646</v>
      </c>
      <c r="C10" s="264">
        <v>273</v>
      </c>
      <c r="D10" s="264">
        <v>123</v>
      </c>
      <c r="E10" s="264">
        <v>0</v>
      </c>
      <c r="F10" s="264">
        <f>C10-D10</f>
        <v>150</v>
      </c>
      <c r="G10" s="124"/>
    </row>
    <row r="11" spans="1:7" ht="39.75" customHeight="1">
      <c r="A11" s="215">
        <v>2</v>
      </c>
      <c r="B11" s="215" t="s">
        <v>647</v>
      </c>
      <c r="C11" s="264">
        <v>242</v>
      </c>
      <c r="D11" s="264">
        <v>115</v>
      </c>
      <c r="E11" s="264">
        <v>0</v>
      </c>
      <c r="F11" s="264">
        <f>C11-D11</f>
        <v>127</v>
      </c>
      <c r="G11" s="124"/>
    </row>
    <row r="12" spans="1:7" ht="33" customHeight="1">
      <c r="A12" s="215">
        <v>3</v>
      </c>
      <c r="B12" s="215" t="s">
        <v>648</v>
      </c>
      <c r="C12" s="264">
        <v>95</v>
      </c>
      <c r="D12" s="264">
        <v>0</v>
      </c>
      <c r="E12" s="264">
        <v>0</v>
      </c>
      <c r="F12" s="264">
        <f>C12-D12</f>
        <v>95</v>
      </c>
      <c r="G12" s="124"/>
    </row>
    <row r="13" spans="1:7" ht="27.75" customHeight="1">
      <c r="A13" s="215">
        <v>4</v>
      </c>
      <c r="B13" s="215" t="s">
        <v>649</v>
      </c>
      <c r="C13" s="264">
        <v>258</v>
      </c>
      <c r="D13" s="264">
        <v>113</v>
      </c>
      <c r="E13" s="264">
        <v>0</v>
      </c>
      <c r="F13" s="264">
        <f>C13-D13</f>
        <v>145</v>
      </c>
      <c r="G13" s="124"/>
    </row>
    <row r="14" spans="1:7" ht="35.25" customHeight="1">
      <c r="A14" s="211"/>
      <c r="B14" s="211" t="s">
        <v>19</v>
      </c>
      <c r="C14" s="427">
        <f>SUM(C10:C13)</f>
        <v>868</v>
      </c>
      <c r="D14" s="427">
        <f>SUM(D10:D13)</f>
        <v>351</v>
      </c>
      <c r="E14" s="264">
        <v>0</v>
      </c>
      <c r="F14" s="437">
        <f>SUM(F10:F13)</f>
        <v>517</v>
      </c>
      <c r="G14" s="6"/>
    </row>
    <row r="15" spans="1:7" ht="12.75">
      <c r="A15" s="13"/>
      <c r="B15" s="13"/>
      <c r="C15" s="13"/>
      <c r="D15" s="80"/>
      <c r="E15" s="80"/>
      <c r="F15" s="80"/>
      <c r="G15" s="80"/>
    </row>
    <row r="16" spans="1:7" ht="12.75">
      <c r="A16" s="13"/>
      <c r="B16" s="13"/>
      <c r="C16" s="13"/>
      <c r="D16" s="487">
        <f>D14/C14</f>
        <v>0.4043778801843318</v>
      </c>
      <c r="E16" s="80"/>
      <c r="F16" s="80"/>
      <c r="G16" s="80"/>
    </row>
    <row r="17" spans="1:7" ht="12.75">
      <c r="A17" s="13"/>
      <c r="B17" s="13"/>
      <c r="C17" s="13"/>
      <c r="D17" s="80"/>
      <c r="E17" s="80"/>
      <c r="F17" s="80"/>
      <c r="G17" s="80"/>
    </row>
    <row r="18" spans="1:7" ht="12.75">
      <c r="A18" s="13"/>
      <c r="B18" s="13"/>
      <c r="C18" s="13"/>
      <c r="D18" s="80"/>
      <c r="E18" s="80"/>
      <c r="F18" s="80"/>
      <c r="G18" s="80"/>
    </row>
    <row r="19" spans="1:7" ht="12.75">
      <c r="A19" s="13"/>
      <c r="B19" s="13"/>
      <c r="C19" s="13"/>
      <c r="D19" s="80"/>
      <c r="E19" s="80"/>
      <c r="F19" s="80"/>
      <c r="G19" s="80"/>
    </row>
    <row r="20" spans="1:7" ht="12.75">
      <c r="A20" s="13"/>
      <c r="B20" s="13"/>
      <c r="C20" s="13"/>
      <c r="D20" s="80"/>
      <c r="E20" s="80"/>
      <c r="F20" s="80"/>
      <c r="G20" s="80"/>
    </row>
    <row r="21" spans="1:7" ht="12.75">
      <c r="A21" s="13"/>
      <c r="B21" s="13"/>
      <c r="C21" s="13"/>
      <c r="D21" s="80"/>
      <c r="E21" s="80"/>
      <c r="F21" s="80"/>
      <c r="G21" s="80"/>
    </row>
    <row r="22" spans="1:7" ht="12.75">
      <c r="A22" s="13"/>
      <c r="B22" s="13"/>
      <c r="C22" s="13"/>
      <c r="D22" s="80"/>
      <c r="E22" s="80"/>
      <c r="F22" s="80"/>
      <c r="G22" s="80"/>
    </row>
    <row r="23" spans="1:7" ht="12.75">
      <c r="A23" s="13"/>
      <c r="B23" s="13"/>
      <c r="C23" s="13"/>
      <c r="D23" s="80"/>
      <c r="E23" s="80"/>
      <c r="F23" s="80"/>
      <c r="G23" s="80"/>
    </row>
    <row r="24" spans="1:7" ht="15" customHeight="1">
      <c r="A24" s="13"/>
      <c r="B24" s="13"/>
      <c r="C24" s="13"/>
      <c r="D24" s="617" t="s">
        <v>13</v>
      </c>
      <c r="E24" s="617"/>
      <c r="F24" s="617"/>
      <c r="G24" s="617"/>
    </row>
    <row r="25" spans="1:7" ht="15" customHeight="1">
      <c r="A25" s="13"/>
      <c r="C25" s="13"/>
      <c r="D25" s="617" t="s">
        <v>14</v>
      </c>
      <c r="E25" s="617"/>
      <c r="F25" s="617"/>
      <c r="G25" s="617"/>
    </row>
    <row r="26" spans="1:7" ht="15" customHeight="1">
      <c r="A26" s="13"/>
      <c r="D26" s="617" t="s">
        <v>89</v>
      </c>
      <c r="E26" s="617"/>
      <c r="F26" s="617"/>
      <c r="G26" s="617"/>
    </row>
    <row r="27" spans="1:7" ht="15" customHeight="1">
      <c r="A27" s="13"/>
      <c r="D27" s="585" t="s">
        <v>86</v>
      </c>
      <c r="E27" s="585"/>
      <c r="F27" s="585"/>
      <c r="G27" s="585"/>
    </row>
    <row r="28" ht="15" customHeight="1">
      <c r="A28" s="13" t="s">
        <v>12</v>
      </c>
    </row>
    <row r="29" ht="15" customHeight="1">
      <c r="H29" s="80"/>
    </row>
    <row r="30" ht="12.75" customHeight="1">
      <c r="H30" s="80"/>
    </row>
    <row r="31" ht="12.75" customHeight="1">
      <c r="H31" s="80"/>
    </row>
    <row r="32" ht="12.75">
      <c r="H32" s="13"/>
    </row>
  </sheetData>
  <sheetProtection/>
  <mergeCells count="13">
    <mergeCell ref="M6:N6"/>
    <mergeCell ref="A7:A8"/>
    <mergeCell ref="B7:B8"/>
    <mergeCell ref="C7:C8"/>
    <mergeCell ref="F6:G6"/>
    <mergeCell ref="D24:G24"/>
    <mergeCell ref="D25:G25"/>
    <mergeCell ref="D26:G26"/>
    <mergeCell ref="D27:G27"/>
    <mergeCell ref="A2:G2"/>
    <mergeCell ref="A3:G3"/>
    <mergeCell ref="A5:G5"/>
    <mergeCell ref="D7:G7"/>
  </mergeCells>
  <printOptions horizontalCentered="1"/>
  <pageMargins left="0.708661417322835" right="0.708661417322835" top="0.826771653543307" bottom="0.19687500000000002" header="0.31496062992126" footer="0.31496062992126"/>
  <pageSetup horizontalDpi="600" verticalDpi="600" orientation="landscape" paperSize="9" r:id="rId1"/>
  <colBreaks count="1" manualBreakCount="1">
    <brk id="7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view="pageBreakPreview" zoomScale="90" zoomScaleSheetLayoutView="90" zoomScalePageLayoutView="0" workbookViewId="0" topLeftCell="A3">
      <selection activeCell="D15" sqref="D15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9" width="10.57421875" style="0" customWidth="1"/>
    <col min="10" max="10" width="10.421875" style="0" customWidth="1"/>
    <col min="11" max="11" width="11.57421875" style="0" customWidth="1"/>
    <col min="12" max="12" width="13.00390625" style="0" customWidth="1"/>
  </cols>
  <sheetData>
    <row r="1" spans="1:12" ht="15">
      <c r="A1" s="650" t="s">
        <v>630</v>
      </c>
      <c r="B1" s="650"/>
      <c r="C1" s="650"/>
      <c r="D1" s="650"/>
      <c r="E1" s="650"/>
      <c r="F1" s="650"/>
      <c r="G1" s="650"/>
      <c r="H1" s="650"/>
      <c r="I1" s="650"/>
      <c r="L1" s="143" t="s">
        <v>676</v>
      </c>
    </row>
    <row r="2" spans="1:12" ht="20.25">
      <c r="A2" s="736" t="s">
        <v>841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</row>
    <row r="3" spans="1:8" ht="13.5">
      <c r="A3" s="120"/>
      <c r="B3" s="120"/>
      <c r="C3" s="120"/>
      <c r="D3" s="120"/>
      <c r="E3" s="120"/>
      <c r="F3" s="120"/>
      <c r="G3" s="120"/>
      <c r="H3" s="120"/>
    </row>
    <row r="4" spans="1:12" ht="20.25">
      <c r="A4" s="764" t="s">
        <v>677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</row>
    <row r="5" spans="1:14" ht="13.5">
      <c r="A5" s="121" t="s">
        <v>644</v>
      </c>
      <c r="B5" s="121"/>
      <c r="C5" s="121"/>
      <c r="D5" s="121"/>
      <c r="E5" s="121"/>
      <c r="F5" s="121"/>
      <c r="G5" s="121"/>
      <c r="H5" s="120"/>
      <c r="J5" s="763" t="s">
        <v>843</v>
      </c>
      <c r="K5" s="763"/>
      <c r="L5" s="763"/>
      <c r="M5" s="763"/>
      <c r="N5" s="763"/>
    </row>
    <row r="6" spans="1:14" ht="28.5" customHeight="1">
      <c r="A6" s="743" t="s">
        <v>2</v>
      </c>
      <c r="B6" s="743" t="s">
        <v>39</v>
      </c>
      <c r="C6" s="553" t="s">
        <v>433</v>
      </c>
      <c r="D6" s="560" t="s">
        <v>492</v>
      </c>
      <c r="E6" s="765"/>
      <c r="F6" s="765"/>
      <c r="G6" s="765"/>
      <c r="H6" s="766"/>
      <c r="I6" s="761" t="s">
        <v>736</v>
      </c>
      <c r="J6" s="761" t="s">
        <v>737</v>
      </c>
      <c r="K6" s="740" t="s">
        <v>541</v>
      </c>
      <c r="L6" s="741"/>
      <c r="M6" s="741"/>
      <c r="N6" s="742"/>
    </row>
    <row r="7" spans="1:14" ht="47.25" customHeight="1">
      <c r="A7" s="744"/>
      <c r="B7" s="744"/>
      <c r="C7" s="553"/>
      <c r="D7" s="6" t="s">
        <v>491</v>
      </c>
      <c r="E7" s="6" t="s">
        <v>434</v>
      </c>
      <c r="F7" s="51" t="s">
        <v>435</v>
      </c>
      <c r="G7" s="6" t="s">
        <v>436</v>
      </c>
      <c r="H7" s="6" t="s">
        <v>49</v>
      </c>
      <c r="I7" s="762"/>
      <c r="J7" s="762"/>
      <c r="K7" s="137" t="s">
        <v>437</v>
      </c>
      <c r="L7" s="6" t="s">
        <v>542</v>
      </c>
      <c r="M7" s="6" t="s">
        <v>438</v>
      </c>
      <c r="N7" s="6" t="s">
        <v>439</v>
      </c>
    </row>
    <row r="8" spans="1:14" ht="13.5">
      <c r="A8" s="123" t="s">
        <v>288</v>
      </c>
      <c r="B8" s="123" t="s">
        <v>289</v>
      </c>
      <c r="C8" s="123" t="s">
        <v>290</v>
      </c>
      <c r="D8" s="123" t="s">
        <v>291</v>
      </c>
      <c r="E8" s="123" t="s">
        <v>292</v>
      </c>
      <c r="F8" s="123" t="s">
        <v>293</v>
      </c>
      <c r="G8" s="123" t="s">
        <v>294</v>
      </c>
      <c r="H8" s="123" t="s">
        <v>295</v>
      </c>
      <c r="I8" s="123">
        <v>9</v>
      </c>
      <c r="J8" s="123">
        <v>10</v>
      </c>
      <c r="K8" s="123">
        <v>11</v>
      </c>
      <c r="L8" s="123">
        <v>12</v>
      </c>
      <c r="M8" s="123">
        <v>13</v>
      </c>
      <c r="N8" s="123">
        <v>14</v>
      </c>
    </row>
    <row r="9" spans="1:15" ht="33" customHeight="1">
      <c r="A9" s="233">
        <v>1</v>
      </c>
      <c r="B9" s="234" t="s">
        <v>632</v>
      </c>
      <c r="C9" s="438">
        <v>273</v>
      </c>
      <c r="D9" s="438">
        <v>70</v>
      </c>
      <c r="E9" s="438">
        <v>135</v>
      </c>
      <c r="F9" s="438">
        <v>0</v>
      </c>
      <c r="G9" s="438">
        <v>0</v>
      </c>
      <c r="H9" s="438">
        <v>68</v>
      </c>
      <c r="I9" s="438">
        <v>132</v>
      </c>
      <c r="J9" s="438">
        <v>0</v>
      </c>
      <c r="K9" s="438">
        <v>131</v>
      </c>
      <c r="L9" s="233">
        <v>89</v>
      </c>
      <c r="M9" s="233">
        <v>30</v>
      </c>
      <c r="N9" s="233">
        <v>23</v>
      </c>
      <c r="O9" s="254"/>
    </row>
    <row r="10" spans="1:14" ht="33" customHeight="1">
      <c r="A10" s="233">
        <v>2</v>
      </c>
      <c r="B10" s="234" t="s">
        <v>633</v>
      </c>
      <c r="C10" s="438">
        <v>242</v>
      </c>
      <c r="D10" s="438">
        <v>215</v>
      </c>
      <c r="E10" s="438">
        <v>210</v>
      </c>
      <c r="F10" s="438">
        <v>0</v>
      </c>
      <c r="G10" s="438">
        <v>0</v>
      </c>
      <c r="H10" s="438">
        <v>0</v>
      </c>
      <c r="I10" s="438">
        <v>98</v>
      </c>
      <c r="J10" s="438">
        <v>0</v>
      </c>
      <c r="K10" s="438">
        <v>225</v>
      </c>
      <c r="L10" s="233">
        <v>72</v>
      </c>
      <c r="M10" s="233">
        <v>0</v>
      </c>
      <c r="N10" s="233">
        <v>0</v>
      </c>
    </row>
    <row r="11" spans="1:14" ht="37.5" customHeight="1">
      <c r="A11" s="233">
        <v>3</v>
      </c>
      <c r="B11" s="234" t="s">
        <v>634</v>
      </c>
      <c r="C11" s="438">
        <v>95</v>
      </c>
      <c r="D11" s="438">
        <v>33</v>
      </c>
      <c r="E11" s="438">
        <v>62</v>
      </c>
      <c r="F11" s="438">
        <v>0</v>
      </c>
      <c r="G11" s="438">
        <v>0</v>
      </c>
      <c r="H11" s="438">
        <v>0</v>
      </c>
      <c r="I11" s="438">
        <v>33</v>
      </c>
      <c r="J11" s="438">
        <v>0</v>
      </c>
      <c r="K11" s="438">
        <v>33</v>
      </c>
      <c r="L11" s="233">
        <v>0</v>
      </c>
      <c r="M11" s="233">
        <v>0</v>
      </c>
      <c r="N11" s="233">
        <v>62</v>
      </c>
    </row>
    <row r="12" spans="1:14" ht="39" customHeight="1">
      <c r="A12" s="233">
        <v>4</v>
      </c>
      <c r="B12" s="234" t="s">
        <v>635</v>
      </c>
      <c r="C12" s="233">
        <v>258</v>
      </c>
      <c r="D12" s="233">
        <v>59</v>
      </c>
      <c r="E12" s="233">
        <v>199</v>
      </c>
      <c r="F12" s="233">
        <v>0</v>
      </c>
      <c r="G12" s="233">
        <v>0</v>
      </c>
      <c r="H12" s="233">
        <v>0</v>
      </c>
      <c r="I12" s="233">
        <v>109</v>
      </c>
      <c r="J12" s="233">
        <v>0</v>
      </c>
      <c r="K12" s="233">
        <v>258</v>
      </c>
      <c r="L12" s="233">
        <v>78</v>
      </c>
      <c r="M12" s="233">
        <v>0</v>
      </c>
      <c r="N12" s="233">
        <v>259</v>
      </c>
    </row>
    <row r="13" spans="1:14" ht="38.25" customHeight="1">
      <c r="A13" s="665" t="s">
        <v>19</v>
      </c>
      <c r="B13" s="666"/>
      <c r="C13" s="106">
        <f aca="true" t="shared" si="0" ref="C13:N13">SUM(C9:C12)</f>
        <v>868</v>
      </c>
      <c r="D13" s="504">
        <f t="shared" si="0"/>
        <v>377</v>
      </c>
      <c r="E13" s="504">
        <f t="shared" si="0"/>
        <v>606</v>
      </c>
      <c r="F13" s="504">
        <f t="shared" si="0"/>
        <v>0</v>
      </c>
      <c r="G13" s="504">
        <f t="shared" si="0"/>
        <v>0</v>
      </c>
      <c r="H13" s="504">
        <f t="shared" si="0"/>
        <v>68</v>
      </c>
      <c r="I13" s="106">
        <f t="shared" si="0"/>
        <v>372</v>
      </c>
      <c r="J13" s="106">
        <f t="shared" si="0"/>
        <v>0</v>
      </c>
      <c r="K13" s="106">
        <f t="shared" si="0"/>
        <v>647</v>
      </c>
      <c r="L13" s="106">
        <f t="shared" si="0"/>
        <v>239</v>
      </c>
      <c r="M13" s="106">
        <f t="shared" si="0"/>
        <v>30</v>
      </c>
      <c r="N13" s="106">
        <f t="shared" si="0"/>
        <v>344</v>
      </c>
    </row>
    <row r="15" ht="12">
      <c r="D15" s="460"/>
    </row>
    <row r="21" ht="12">
      <c r="M21" s="2" t="s">
        <v>432</v>
      </c>
    </row>
    <row r="25" spans="1:12" ht="12.75" customHeight="1">
      <c r="A25" s="13"/>
      <c r="B25" s="13"/>
      <c r="C25" s="13"/>
      <c r="D25" s="13"/>
      <c r="H25" s="617" t="s">
        <v>13</v>
      </c>
      <c r="I25" s="617"/>
      <c r="J25" s="617"/>
      <c r="K25" s="617"/>
      <c r="L25" s="617"/>
    </row>
    <row r="26" spans="1:12" ht="12.75" customHeight="1">
      <c r="A26" s="13"/>
      <c r="B26" s="13"/>
      <c r="C26" s="13"/>
      <c r="D26" s="13"/>
      <c r="H26" s="617" t="s">
        <v>14</v>
      </c>
      <c r="I26" s="617"/>
      <c r="J26" s="617"/>
      <c r="K26" s="617"/>
      <c r="L26" s="617"/>
    </row>
    <row r="27" spans="1:12" ht="18" customHeight="1">
      <c r="A27" s="617" t="s">
        <v>89</v>
      </c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</row>
    <row r="28" spans="1:9" ht="12.75" customHeight="1">
      <c r="A28" s="13" t="s">
        <v>12</v>
      </c>
      <c r="C28" s="13"/>
      <c r="D28" s="13"/>
      <c r="I28" s="3" t="s">
        <v>86</v>
      </c>
    </row>
    <row r="29" ht="12.75" customHeight="1"/>
    <row r="30" ht="12.75" customHeight="1"/>
  </sheetData>
  <sheetProtection/>
  <mergeCells count="15">
    <mergeCell ref="A13:B13"/>
    <mergeCell ref="A4:L4"/>
    <mergeCell ref="A27:L27"/>
    <mergeCell ref="H25:L25"/>
    <mergeCell ref="H26:L26"/>
    <mergeCell ref="A2:L2"/>
    <mergeCell ref="D6:H6"/>
    <mergeCell ref="C6:C7"/>
    <mergeCell ref="K6:N6"/>
    <mergeCell ref="I6:I7"/>
    <mergeCell ref="J6:J7"/>
    <mergeCell ref="J5:N5"/>
    <mergeCell ref="A1:I1"/>
    <mergeCell ref="A6:A7"/>
    <mergeCell ref="B6:B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20" zoomScaleSheetLayoutView="120" zoomScalePageLayoutView="0" workbookViewId="0" topLeftCell="A8">
      <selection activeCell="A4" sqref="A4:G4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3.00390625" style="0" customWidth="1"/>
  </cols>
  <sheetData>
    <row r="1" spans="1:8" ht="15">
      <c r="A1" s="650" t="s">
        <v>0</v>
      </c>
      <c r="B1" s="650"/>
      <c r="C1" s="650"/>
      <c r="D1" s="650"/>
      <c r="E1" s="650"/>
      <c r="F1" s="650"/>
      <c r="G1" s="650"/>
      <c r="H1" s="143" t="s">
        <v>715</v>
      </c>
    </row>
    <row r="2" spans="1:7" ht="20.25">
      <c r="A2" s="736" t="s">
        <v>841</v>
      </c>
      <c r="B2" s="736"/>
      <c r="C2" s="736"/>
      <c r="D2" s="736"/>
      <c r="E2" s="736"/>
      <c r="F2" s="736"/>
      <c r="G2" s="736"/>
    </row>
    <row r="3" spans="1:7" ht="13.5">
      <c r="A3" s="120"/>
      <c r="B3" s="120"/>
      <c r="C3" s="120"/>
      <c r="D3" s="120"/>
      <c r="E3" s="120"/>
      <c r="F3" s="120"/>
      <c r="G3" s="120"/>
    </row>
    <row r="4" spans="1:7" ht="15">
      <c r="A4" s="650" t="s">
        <v>714</v>
      </c>
      <c r="B4" s="650"/>
      <c r="C4" s="650"/>
      <c r="D4" s="650"/>
      <c r="E4" s="650"/>
      <c r="F4" s="650"/>
      <c r="G4" s="650"/>
    </row>
    <row r="5" spans="1:7" ht="13.5">
      <c r="A5" s="121" t="s">
        <v>644</v>
      </c>
      <c r="B5" s="121"/>
      <c r="C5" s="121"/>
      <c r="D5" s="121"/>
      <c r="E5" s="121"/>
      <c r="F5" s="121"/>
      <c r="G5" s="352" t="s">
        <v>843</v>
      </c>
    </row>
    <row r="6" spans="1:8" ht="21.75" customHeight="1">
      <c r="A6" s="743" t="s">
        <v>2</v>
      </c>
      <c r="B6" s="743" t="s">
        <v>543</v>
      </c>
      <c r="C6" s="553" t="s">
        <v>39</v>
      </c>
      <c r="D6" s="553" t="s">
        <v>548</v>
      </c>
      <c r="E6" s="553"/>
      <c r="F6" s="596" t="s">
        <v>549</v>
      </c>
      <c r="G6" s="596"/>
      <c r="H6" s="743" t="s">
        <v>249</v>
      </c>
    </row>
    <row r="7" spans="1:8" ht="25.5" customHeight="1">
      <c r="A7" s="744"/>
      <c r="B7" s="744"/>
      <c r="C7" s="553"/>
      <c r="D7" s="6" t="s">
        <v>544</v>
      </c>
      <c r="E7" s="6" t="s">
        <v>545</v>
      </c>
      <c r="F7" s="51" t="s">
        <v>546</v>
      </c>
      <c r="G7" s="6" t="s">
        <v>547</v>
      </c>
      <c r="H7" s="744"/>
    </row>
    <row r="8" spans="1:8" ht="13.5">
      <c r="A8" s="123" t="s">
        <v>288</v>
      </c>
      <c r="B8" s="123" t="s">
        <v>289</v>
      </c>
      <c r="C8" s="123" t="s">
        <v>290</v>
      </c>
      <c r="D8" s="123" t="s">
        <v>291</v>
      </c>
      <c r="E8" s="123" t="s">
        <v>292</v>
      </c>
      <c r="F8" s="123" t="s">
        <v>293</v>
      </c>
      <c r="G8" s="123" t="s">
        <v>294</v>
      </c>
      <c r="H8" s="123">
        <v>8</v>
      </c>
    </row>
    <row r="9" spans="1:8" ht="33" customHeight="1">
      <c r="A9" s="187">
        <v>1</v>
      </c>
      <c r="B9" s="123"/>
      <c r="C9" s="123"/>
      <c r="D9" s="123"/>
      <c r="E9" s="123"/>
      <c r="F9" s="123"/>
      <c r="G9" s="123"/>
      <c r="H9" s="123"/>
    </row>
    <row r="10" spans="1:8" ht="27.75" customHeight="1">
      <c r="A10" s="187">
        <v>2</v>
      </c>
      <c r="B10" s="767" t="s">
        <v>652</v>
      </c>
      <c r="C10" s="768"/>
      <c r="D10" s="768"/>
      <c r="E10" s="768"/>
      <c r="F10" s="768"/>
      <c r="G10" s="769"/>
      <c r="H10" s="123"/>
    </row>
    <row r="11" spans="1:8" ht="35.25" customHeight="1">
      <c r="A11" s="187">
        <v>3</v>
      </c>
      <c r="B11" s="770"/>
      <c r="C11" s="771"/>
      <c r="D11" s="771"/>
      <c r="E11" s="771"/>
      <c r="F11" s="771"/>
      <c r="G11" s="772"/>
      <c r="H11" s="123"/>
    </row>
    <row r="12" spans="1:8" ht="35.25" customHeight="1">
      <c r="A12" s="187">
        <v>4</v>
      </c>
      <c r="B12" s="123"/>
      <c r="C12" s="123"/>
      <c r="D12" s="123"/>
      <c r="E12" s="123"/>
      <c r="F12" s="123"/>
      <c r="G12" s="123"/>
      <c r="H12" s="123"/>
    </row>
    <row r="13" spans="1:8" ht="52.5" customHeight="1">
      <c r="A13" s="187">
        <v>5</v>
      </c>
      <c r="B13" s="123"/>
      <c r="C13" s="123"/>
      <c r="D13" s="123"/>
      <c r="E13" s="123"/>
      <c r="F13" s="123"/>
      <c r="G13" s="123"/>
      <c r="H13" s="123"/>
    </row>
    <row r="23" spans="1:8" ht="12.75">
      <c r="A23" s="13"/>
      <c r="B23" s="13"/>
      <c r="C23" s="13"/>
      <c r="D23" s="13"/>
      <c r="F23" s="617" t="s">
        <v>13</v>
      </c>
      <c r="G23" s="617"/>
      <c r="H23" s="617"/>
    </row>
    <row r="24" spans="1:8" ht="12.75">
      <c r="A24" s="13"/>
      <c r="B24" s="13"/>
      <c r="C24" s="13"/>
      <c r="D24" s="13"/>
      <c r="F24" s="617" t="s">
        <v>14</v>
      </c>
      <c r="G24" s="617"/>
      <c r="H24" s="617"/>
    </row>
    <row r="25" spans="1:8" ht="14.25" customHeight="1">
      <c r="A25" s="13"/>
      <c r="B25" s="617" t="s">
        <v>89</v>
      </c>
      <c r="C25" s="617"/>
      <c r="D25" s="617"/>
      <c r="E25" s="617"/>
      <c r="F25" s="617"/>
      <c r="G25" s="617"/>
      <c r="H25" s="617"/>
    </row>
    <row r="26" spans="1:7" ht="12.75">
      <c r="A26" s="13" t="s">
        <v>12</v>
      </c>
      <c r="C26" s="13"/>
      <c r="D26" s="13"/>
      <c r="G26" s="3" t="s">
        <v>86</v>
      </c>
    </row>
    <row r="28" ht="12.75" customHeight="1"/>
    <row r="29" ht="12.75" customHeight="1"/>
    <row r="30" ht="12.75" customHeight="1"/>
  </sheetData>
  <sheetProtection/>
  <mergeCells count="13">
    <mergeCell ref="B25:H25"/>
    <mergeCell ref="B10:G11"/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F23:H23"/>
    <mergeCell ref="F24:H24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0"/>
  <sheetViews>
    <sheetView view="pageBreakPreview" zoomScale="77" zoomScaleSheetLayoutView="77" zoomScalePageLayoutView="0" workbookViewId="0" topLeftCell="A9">
      <selection activeCell="M21" sqref="M21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9.8515625" style="0" customWidth="1"/>
    <col min="4" max="4" width="7.00390625" style="0" customWidth="1"/>
    <col min="5" max="5" width="12.00390625" style="0" bestFit="1" customWidth="1"/>
    <col min="6" max="6" width="12.00390625" style="0" customWidth="1"/>
    <col min="7" max="9" width="7.00390625" style="0" customWidth="1"/>
    <col min="10" max="10" width="12.421875" style="0" customWidth="1"/>
    <col min="11" max="13" width="7.00390625" style="0" customWidth="1"/>
    <col min="14" max="14" width="9.00390625" style="0" customWidth="1"/>
    <col min="15" max="16" width="7.00390625" style="0" customWidth="1"/>
    <col min="17" max="18" width="11.5742187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3:20" ht="12.75">
      <c r="C2">
        <v>53</v>
      </c>
      <c r="D2">
        <v>7</v>
      </c>
      <c r="E2">
        <v>40</v>
      </c>
      <c r="F2">
        <f>SUM(C2:E2)</f>
        <v>100</v>
      </c>
      <c r="G2" s="585"/>
      <c r="H2" s="585"/>
      <c r="I2" s="585"/>
      <c r="J2" s="585"/>
      <c r="K2" s="585"/>
      <c r="L2" s="585"/>
      <c r="M2" s="585"/>
      <c r="N2" s="585"/>
      <c r="O2" s="585"/>
      <c r="P2" s="3"/>
      <c r="Q2" s="3"/>
      <c r="R2" s="3"/>
      <c r="T2" s="37" t="s">
        <v>61</v>
      </c>
    </row>
    <row r="3" spans="1:21" ht="13.5">
      <c r="A3" s="551" t="s">
        <v>59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</row>
    <row r="4" spans="1:256" ht="15">
      <c r="A4" s="582" t="s">
        <v>841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6" spans="1:21" ht="13.5">
      <c r="A6" s="611" t="s">
        <v>861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</row>
    <row r="7" spans="1:21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>
        <v>26.39</v>
      </c>
      <c r="U7" s="36">
        <v>2.93</v>
      </c>
    </row>
    <row r="8" spans="1:21" ht="15">
      <c r="A8" s="579" t="s">
        <v>643</v>
      </c>
      <c r="B8" s="579"/>
      <c r="C8" s="579"/>
      <c r="D8" s="24"/>
      <c r="E8" s="24"/>
      <c r="F8" s="24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>
        <v>4.85</v>
      </c>
      <c r="S8" s="36">
        <v>22.15</v>
      </c>
      <c r="T8" s="36">
        <f>SUM(R8:S8)</f>
        <v>27</v>
      </c>
      <c r="U8" s="36"/>
    </row>
    <row r="10" spans="21:256" ht="14.25">
      <c r="U10" s="612" t="s">
        <v>503</v>
      </c>
      <c r="V10" s="612"/>
      <c r="W10" s="2"/>
      <c r="X10" s="2"/>
      <c r="Y10" s="2"/>
      <c r="Z10" s="2"/>
      <c r="AA10" s="2"/>
      <c r="AB10" s="562"/>
      <c r="AC10" s="562"/>
      <c r="AD10" s="56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618" t="s">
        <v>2</v>
      </c>
      <c r="B11" s="618" t="s">
        <v>114</v>
      </c>
      <c r="C11" s="590" t="s">
        <v>173</v>
      </c>
      <c r="D11" s="591"/>
      <c r="E11" s="591"/>
      <c r="F11" s="592"/>
      <c r="G11" s="608" t="s">
        <v>821</v>
      </c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10"/>
      <c r="S11" s="613" t="s">
        <v>273</v>
      </c>
      <c r="T11" s="614"/>
      <c r="U11" s="614"/>
      <c r="V11" s="614"/>
      <c r="W11" s="79"/>
      <c r="X11" s="79"/>
      <c r="Y11" s="79"/>
      <c r="Z11" s="79"/>
      <c r="AA11" s="79"/>
      <c r="AB11" s="79"/>
      <c r="AC11" s="79"/>
      <c r="AD11" s="79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619"/>
      <c r="B12" s="619"/>
      <c r="C12" s="593"/>
      <c r="D12" s="594"/>
      <c r="E12" s="594"/>
      <c r="F12" s="595"/>
      <c r="G12" s="574" t="s">
        <v>194</v>
      </c>
      <c r="H12" s="589"/>
      <c r="I12" s="589"/>
      <c r="J12" s="575"/>
      <c r="K12" s="574" t="s">
        <v>195</v>
      </c>
      <c r="L12" s="589"/>
      <c r="M12" s="589"/>
      <c r="N12" s="575"/>
      <c r="O12" s="552" t="s">
        <v>19</v>
      </c>
      <c r="P12" s="552"/>
      <c r="Q12" s="552"/>
      <c r="R12" s="552"/>
      <c r="S12" s="615"/>
      <c r="T12" s="616"/>
      <c r="U12" s="616"/>
      <c r="V12" s="616"/>
      <c r="W12" s="79"/>
      <c r="X12" s="79"/>
      <c r="Y12" s="79"/>
      <c r="Z12" s="79"/>
      <c r="AA12" s="79"/>
      <c r="AB12" s="79"/>
      <c r="AC12" s="79"/>
      <c r="AD12" s="79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39">
      <c r="A13" s="107"/>
      <c r="B13" s="107"/>
      <c r="C13" s="106" t="s">
        <v>274</v>
      </c>
      <c r="D13" s="106" t="s">
        <v>275</v>
      </c>
      <c r="E13" s="106" t="s">
        <v>276</v>
      </c>
      <c r="F13" s="106" t="s">
        <v>93</v>
      </c>
      <c r="G13" s="106" t="s">
        <v>274</v>
      </c>
      <c r="H13" s="106" t="s">
        <v>275</v>
      </c>
      <c r="I13" s="106" t="s">
        <v>276</v>
      </c>
      <c r="J13" s="106" t="s">
        <v>19</v>
      </c>
      <c r="K13" s="106" t="s">
        <v>274</v>
      </c>
      <c r="L13" s="106" t="s">
        <v>275</v>
      </c>
      <c r="M13" s="106" t="s">
        <v>276</v>
      </c>
      <c r="N13" s="106" t="s">
        <v>93</v>
      </c>
      <c r="O13" s="106" t="s">
        <v>274</v>
      </c>
      <c r="P13" s="106" t="s">
        <v>275</v>
      </c>
      <c r="Q13" s="106" t="s">
        <v>276</v>
      </c>
      <c r="R13" s="106" t="s">
        <v>19</v>
      </c>
      <c r="S13" s="6" t="s">
        <v>499</v>
      </c>
      <c r="T13" s="6" t="s">
        <v>500</v>
      </c>
      <c r="U13" s="6" t="s">
        <v>501</v>
      </c>
      <c r="V13" s="159" t="s">
        <v>502</v>
      </c>
      <c r="W13" s="79"/>
      <c r="X13" s="79"/>
      <c r="Y13" s="79"/>
      <c r="Z13" s="79"/>
      <c r="AA13" s="79"/>
      <c r="AB13" s="79"/>
      <c r="AC13" s="79"/>
      <c r="AD13" s="79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2.75">
      <c r="A14" s="93">
        <v>1</v>
      </c>
      <c r="B14" s="108">
        <v>2</v>
      </c>
      <c r="C14" s="93">
        <v>3</v>
      </c>
      <c r="D14" s="93">
        <v>4</v>
      </c>
      <c r="E14" s="108">
        <v>5</v>
      </c>
      <c r="F14" s="93">
        <v>6</v>
      </c>
      <c r="G14" s="93">
        <v>7</v>
      </c>
      <c r="H14" s="108">
        <v>8</v>
      </c>
      <c r="I14" s="93">
        <v>9</v>
      </c>
      <c r="J14" s="93">
        <v>10</v>
      </c>
      <c r="K14" s="108">
        <v>11</v>
      </c>
      <c r="L14" s="93">
        <v>12</v>
      </c>
      <c r="M14" s="93">
        <v>13</v>
      </c>
      <c r="N14" s="108">
        <v>14</v>
      </c>
      <c r="O14" s="93">
        <v>15</v>
      </c>
      <c r="P14" s="93">
        <v>16</v>
      </c>
      <c r="Q14" s="108">
        <v>17</v>
      </c>
      <c r="R14" s="93">
        <v>18</v>
      </c>
      <c r="S14" s="93">
        <v>19</v>
      </c>
      <c r="T14" s="108">
        <v>20</v>
      </c>
      <c r="U14" s="93">
        <v>21</v>
      </c>
      <c r="V14" s="93">
        <v>22</v>
      </c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2.75">
      <c r="A15" s="15"/>
      <c r="B15" s="110" t="s">
        <v>260</v>
      </c>
      <c r="C15" s="157"/>
      <c r="D15" s="157"/>
      <c r="E15" s="157"/>
      <c r="F15" s="157"/>
      <c r="G15" s="172"/>
      <c r="H15" s="172"/>
      <c r="I15" s="172"/>
      <c r="J15" s="172"/>
      <c r="K15" s="172"/>
      <c r="L15" s="172"/>
      <c r="M15" s="172"/>
      <c r="N15" s="172"/>
      <c r="O15" s="9"/>
      <c r="P15" s="9"/>
      <c r="Q15" s="9"/>
      <c r="R15" s="9"/>
      <c r="S15" s="9"/>
      <c r="T15" s="10"/>
      <c r="U15" s="10"/>
      <c r="V15" s="1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.75" customHeight="1">
      <c r="A16" s="4">
        <v>1</v>
      </c>
      <c r="B16" s="110" t="s">
        <v>203</v>
      </c>
      <c r="C16" s="262">
        <f>F16*53/100</f>
        <v>25.4188</v>
      </c>
      <c r="D16" s="262">
        <f>F16*7/100</f>
        <v>3.3572</v>
      </c>
      <c r="E16" s="262">
        <f>F16*40/100</f>
        <v>19.184</v>
      </c>
      <c r="F16" s="204">
        <v>47.96</v>
      </c>
      <c r="G16" s="219">
        <f>J16*53/100</f>
        <v>25.4188</v>
      </c>
      <c r="H16" s="219">
        <f>J16*7/100</f>
        <v>3.3572</v>
      </c>
      <c r="I16" s="219">
        <f>J16*40/100</f>
        <v>19.184</v>
      </c>
      <c r="J16" s="204">
        <v>47.96</v>
      </c>
      <c r="K16" s="219">
        <v>0</v>
      </c>
      <c r="L16" s="219">
        <v>0</v>
      </c>
      <c r="M16" s="219">
        <v>0</v>
      </c>
      <c r="N16" s="204">
        <f>SUM(K16:M16)</f>
        <v>0</v>
      </c>
      <c r="O16" s="203">
        <f aca="true" t="shared" si="0" ref="O16:Q20">G16+K16</f>
        <v>25.4188</v>
      </c>
      <c r="P16" s="203">
        <f t="shared" si="0"/>
        <v>3.3572</v>
      </c>
      <c r="Q16" s="203">
        <f t="shared" si="0"/>
        <v>19.184</v>
      </c>
      <c r="R16" s="106">
        <f>SUM(O16:Q16)</f>
        <v>47.96</v>
      </c>
      <c r="S16" s="203">
        <f aca="true" t="shared" si="1" ref="S16:U20">C16-O16</f>
        <v>0</v>
      </c>
      <c r="T16" s="203">
        <f t="shared" si="1"/>
        <v>0</v>
      </c>
      <c r="U16" s="203">
        <f t="shared" si="1"/>
        <v>0</v>
      </c>
      <c r="V16" s="106">
        <f aca="true" t="shared" si="2" ref="V16:V21">SUM(S16:U16)</f>
        <v>0</v>
      </c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8" ht="26.25" customHeight="1">
      <c r="A17" s="4">
        <v>2</v>
      </c>
      <c r="B17" s="111" t="s">
        <v>137</v>
      </c>
      <c r="C17" s="262">
        <f>F17*53/100</f>
        <v>364.82550000000003</v>
      </c>
      <c r="D17" s="262">
        <f>F17*7/100</f>
        <v>48.1845</v>
      </c>
      <c r="E17" s="262">
        <f>F17*40/100</f>
        <v>275.34</v>
      </c>
      <c r="F17" s="204">
        <v>688.35</v>
      </c>
      <c r="G17" s="219">
        <f>J17*53/100</f>
        <v>303.5363</v>
      </c>
      <c r="H17" s="219">
        <f>J17*7/100</f>
        <v>40.0897</v>
      </c>
      <c r="I17" s="219">
        <f>J17*40/100</f>
        <v>229.084</v>
      </c>
      <c r="J17" s="359">
        <v>572.71</v>
      </c>
      <c r="K17" s="219">
        <f>N17*53/100</f>
        <v>33.5278</v>
      </c>
      <c r="L17" s="219">
        <f>N17*7/100</f>
        <v>4.4282</v>
      </c>
      <c r="M17" s="219">
        <f>N17*40/100</f>
        <v>25.304000000000002</v>
      </c>
      <c r="N17" s="204">
        <v>63.26</v>
      </c>
      <c r="O17" s="203">
        <f t="shared" si="0"/>
        <v>337.0641</v>
      </c>
      <c r="P17" s="203">
        <f t="shared" si="0"/>
        <v>44.5179</v>
      </c>
      <c r="Q17" s="203">
        <f t="shared" si="0"/>
        <v>254.388</v>
      </c>
      <c r="R17" s="106">
        <f>SUM(O17:Q17)</f>
        <v>635.97</v>
      </c>
      <c r="S17" s="203">
        <f t="shared" si="1"/>
        <v>27.761400000000037</v>
      </c>
      <c r="T17" s="203">
        <f t="shared" si="1"/>
        <v>3.6666000000000025</v>
      </c>
      <c r="U17" s="203">
        <f t="shared" si="1"/>
        <v>20.95199999999997</v>
      </c>
      <c r="V17" s="106">
        <f t="shared" si="2"/>
        <v>52.38000000000001</v>
      </c>
      <c r="Y17" s="579"/>
      <c r="Z17" s="579"/>
      <c r="AA17" s="579"/>
      <c r="AB17" s="579"/>
    </row>
    <row r="18" spans="1:22" ht="25.5">
      <c r="A18" s="4">
        <v>3</v>
      </c>
      <c r="B18" s="110" t="s">
        <v>138</v>
      </c>
      <c r="C18" s="262">
        <f>F18*53/100</f>
        <v>15.4177</v>
      </c>
      <c r="D18" s="262">
        <f>F18*7/100</f>
        <v>2.0362999999999998</v>
      </c>
      <c r="E18" s="262">
        <f>F18*40/100</f>
        <v>11.636</v>
      </c>
      <c r="F18" s="204">
        <v>29.09</v>
      </c>
      <c r="G18" s="219">
        <f>J18*53/100</f>
        <v>15.4177</v>
      </c>
      <c r="H18" s="219">
        <f>J18*7/100</f>
        <v>2.0362999999999998</v>
      </c>
      <c r="I18" s="219">
        <f>J18*40/100</f>
        <v>11.636</v>
      </c>
      <c r="J18" s="204">
        <v>29.09</v>
      </c>
      <c r="K18" s="219">
        <v>0</v>
      </c>
      <c r="L18" s="219">
        <v>0</v>
      </c>
      <c r="M18" s="219">
        <v>0</v>
      </c>
      <c r="N18" s="204">
        <f>SUM(K18:M18)</f>
        <v>0</v>
      </c>
      <c r="O18" s="203">
        <f t="shared" si="0"/>
        <v>15.4177</v>
      </c>
      <c r="P18" s="203">
        <f t="shared" si="0"/>
        <v>2.0362999999999998</v>
      </c>
      <c r="Q18" s="203">
        <f t="shared" si="0"/>
        <v>11.636</v>
      </c>
      <c r="R18" s="106">
        <f>SUM(O18:Q18)</f>
        <v>29.09</v>
      </c>
      <c r="S18" s="203">
        <f t="shared" si="1"/>
        <v>0</v>
      </c>
      <c r="T18" s="203">
        <f t="shared" si="1"/>
        <v>0</v>
      </c>
      <c r="U18" s="203">
        <f t="shared" si="1"/>
        <v>0</v>
      </c>
      <c r="V18" s="106">
        <f t="shared" si="2"/>
        <v>0</v>
      </c>
    </row>
    <row r="19" spans="1:22" ht="18.75" customHeight="1">
      <c r="A19" s="4">
        <v>4</v>
      </c>
      <c r="B19" s="111" t="s">
        <v>139</v>
      </c>
      <c r="C19" s="262">
        <f>F19*53/100</f>
        <v>7.8811</v>
      </c>
      <c r="D19" s="262">
        <f>F19*7/100</f>
        <v>1.0409</v>
      </c>
      <c r="E19" s="262">
        <f>F19*40/100</f>
        <v>5.9479999999999995</v>
      </c>
      <c r="F19" s="204">
        <v>14.87</v>
      </c>
      <c r="G19" s="219">
        <f>J19*53/100</f>
        <v>7.8811</v>
      </c>
      <c r="H19" s="219">
        <f>J19*7/100</f>
        <v>1.0409</v>
      </c>
      <c r="I19" s="219">
        <f>J19*40/100</f>
        <v>5.9479999999999995</v>
      </c>
      <c r="J19" s="359">
        <v>14.87</v>
      </c>
      <c r="K19" s="219">
        <v>0</v>
      </c>
      <c r="L19" s="219">
        <v>0</v>
      </c>
      <c r="M19" s="219">
        <v>0</v>
      </c>
      <c r="N19" s="204">
        <f>SUM(K19:M19)</f>
        <v>0</v>
      </c>
      <c r="O19" s="203">
        <f t="shared" si="0"/>
        <v>7.8811</v>
      </c>
      <c r="P19" s="203">
        <f t="shared" si="0"/>
        <v>1.0409</v>
      </c>
      <c r="Q19" s="203">
        <f t="shared" si="0"/>
        <v>5.9479999999999995</v>
      </c>
      <c r="R19" s="106">
        <f>SUM(O19:Q19)</f>
        <v>14.870000000000001</v>
      </c>
      <c r="S19" s="203">
        <f t="shared" si="1"/>
        <v>0</v>
      </c>
      <c r="T19" s="203">
        <f t="shared" si="1"/>
        <v>0</v>
      </c>
      <c r="U19" s="203">
        <f t="shared" si="1"/>
        <v>0</v>
      </c>
      <c r="V19" s="106">
        <f t="shared" si="2"/>
        <v>0</v>
      </c>
    </row>
    <row r="20" spans="1:22" ht="25.5">
      <c r="A20" s="4">
        <v>5</v>
      </c>
      <c r="B20" s="110" t="s">
        <v>140</v>
      </c>
      <c r="C20" s="262">
        <f>F20*53/100</f>
        <v>99.693</v>
      </c>
      <c r="D20" s="262">
        <f>F20*7/100</f>
        <v>13.167</v>
      </c>
      <c r="E20" s="262">
        <f>F20*40/100</f>
        <v>75.24</v>
      </c>
      <c r="F20" s="263">
        <v>188.1</v>
      </c>
      <c r="G20" s="219">
        <f>J20*53/100</f>
        <v>89.7237</v>
      </c>
      <c r="H20" s="219">
        <f>J20*7/100</f>
        <v>11.850299999999999</v>
      </c>
      <c r="I20" s="219">
        <f>J20*40/100</f>
        <v>67.716</v>
      </c>
      <c r="J20" s="359">
        <v>169.29</v>
      </c>
      <c r="K20" s="219">
        <f>N20*53/100</f>
        <v>9.969299999999999</v>
      </c>
      <c r="L20" s="219">
        <f>N20*7/100</f>
        <v>1.3167</v>
      </c>
      <c r="M20" s="219">
        <f>N20*40/100</f>
        <v>7.524</v>
      </c>
      <c r="N20" s="204">
        <v>18.81</v>
      </c>
      <c r="O20" s="203">
        <f t="shared" si="0"/>
        <v>99.693</v>
      </c>
      <c r="P20" s="203">
        <f t="shared" si="0"/>
        <v>13.166999999999998</v>
      </c>
      <c r="Q20" s="203">
        <f t="shared" si="0"/>
        <v>75.24</v>
      </c>
      <c r="R20" s="106">
        <f>SUM(O20:Q20)</f>
        <v>188.1</v>
      </c>
      <c r="S20" s="203">
        <f t="shared" si="1"/>
        <v>0</v>
      </c>
      <c r="T20" s="203">
        <f t="shared" si="1"/>
        <v>0</v>
      </c>
      <c r="U20" s="203">
        <f t="shared" si="1"/>
        <v>0</v>
      </c>
      <c r="V20" s="106">
        <f t="shared" si="2"/>
        <v>0</v>
      </c>
    </row>
    <row r="21" spans="1:22" s="2" customFormat="1" ht="25.5" customHeight="1">
      <c r="A21" s="4"/>
      <c r="B21" s="110" t="s">
        <v>93</v>
      </c>
      <c r="C21" s="204">
        <f aca="true" t="shared" si="3" ref="C21:I21">SUM(C16:C20)</f>
        <v>513.2361000000001</v>
      </c>
      <c r="D21" s="204">
        <f t="shared" si="3"/>
        <v>67.7859</v>
      </c>
      <c r="E21" s="204">
        <f t="shared" si="3"/>
        <v>387.348</v>
      </c>
      <c r="F21" s="263">
        <f t="shared" si="3"/>
        <v>968.3700000000001</v>
      </c>
      <c r="G21" s="204">
        <f t="shared" si="3"/>
        <v>441.9776</v>
      </c>
      <c r="H21" s="204">
        <f t="shared" si="3"/>
        <v>58.374399999999994</v>
      </c>
      <c r="I21" s="204">
        <f t="shared" si="3"/>
        <v>333.568</v>
      </c>
      <c r="J21" s="204">
        <f>SUM(G21:I21)</f>
        <v>833.92</v>
      </c>
      <c r="K21" s="204">
        <f>SUM(K17:K20)</f>
        <v>43.497099999999996</v>
      </c>
      <c r="L21" s="204">
        <f>SUM(L17:L20)</f>
        <v>5.7449</v>
      </c>
      <c r="M21" s="204">
        <f>SUM(M17:M20)</f>
        <v>32.828</v>
      </c>
      <c r="N21" s="204">
        <f>SUM(K21:M21)</f>
        <v>82.07</v>
      </c>
      <c r="O21" s="106">
        <f aca="true" t="shared" si="4" ref="O21:U21">SUM(O16:O20)</f>
        <v>485.4747</v>
      </c>
      <c r="P21" s="106">
        <f t="shared" si="4"/>
        <v>64.1193</v>
      </c>
      <c r="Q21" s="106">
        <f t="shared" si="4"/>
        <v>366.396</v>
      </c>
      <c r="R21" s="106">
        <f t="shared" si="4"/>
        <v>915.9900000000001</v>
      </c>
      <c r="S21" s="106">
        <f t="shared" si="4"/>
        <v>27.761400000000037</v>
      </c>
      <c r="T21" s="106">
        <f t="shared" si="4"/>
        <v>3.6666000000000025</v>
      </c>
      <c r="U21" s="106">
        <f t="shared" si="4"/>
        <v>20.95199999999997</v>
      </c>
      <c r="V21" s="106">
        <f t="shared" si="2"/>
        <v>52.38000000000001</v>
      </c>
    </row>
    <row r="22" spans="1:22" ht="25.5">
      <c r="A22" s="4"/>
      <c r="B22" s="112" t="s">
        <v>261</v>
      </c>
      <c r="C22" s="219"/>
      <c r="D22" s="219"/>
      <c r="E22" s="219"/>
      <c r="F22" s="106"/>
      <c r="G22" s="219"/>
      <c r="H22" s="219"/>
      <c r="I22" s="219"/>
      <c r="J22" s="219"/>
      <c r="K22" s="219"/>
      <c r="L22" s="219"/>
      <c r="M22" s="219"/>
      <c r="N22" s="219"/>
      <c r="O22" s="106"/>
      <c r="P22" s="106"/>
      <c r="Q22" s="106"/>
      <c r="R22" s="106"/>
      <c r="S22" s="203"/>
      <c r="T22" s="203"/>
      <c r="U22" s="203"/>
      <c r="V22" s="203"/>
    </row>
    <row r="23" spans="1:22" ht="15.75" customHeight="1">
      <c r="A23" s="4">
        <v>6</v>
      </c>
      <c r="B23" s="110" t="s">
        <v>205</v>
      </c>
      <c r="C23" s="219">
        <f>F23*53/100</f>
        <v>13.981399999999999</v>
      </c>
      <c r="D23" s="219">
        <f>F23*7/100</f>
        <v>1.8466</v>
      </c>
      <c r="E23" s="219">
        <f>F23*40/100</f>
        <v>10.552</v>
      </c>
      <c r="F23" s="203">
        <v>26.38</v>
      </c>
      <c r="G23" s="219">
        <f>J23*53/100</f>
        <v>4.664000000000001</v>
      </c>
      <c r="H23" s="219">
        <f>J23*7/100</f>
        <v>0.6160000000000001</v>
      </c>
      <c r="I23" s="219">
        <f>J23*40/100</f>
        <v>3.52</v>
      </c>
      <c r="J23" s="204">
        <v>8.8</v>
      </c>
      <c r="K23" s="219">
        <f>N23*53/100</f>
        <v>1.5529000000000002</v>
      </c>
      <c r="L23" s="219">
        <f>N23*7/100</f>
        <v>0.2051</v>
      </c>
      <c r="M23" s="219">
        <f>N23*40/100</f>
        <v>1.172</v>
      </c>
      <c r="N23" s="219">
        <v>2.93</v>
      </c>
      <c r="O23" s="106">
        <f aca="true" t="shared" si="5" ref="O23:Q24">G23+K23</f>
        <v>6.216900000000001</v>
      </c>
      <c r="P23" s="106">
        <f t="shared" si="5"/>
        <v>0.8211000000000002</v>
      </c>
      <c r="Q23" s="106">
        <f t="shared" si="5"/>
        <v>4.692</v>
      </c>
      <c r="R23" s="106">
        <f>SUM(O23:Q23)</f>
        <v>11.73</v>
      </c>
      <c r="S23" s="203">
        <f aca="true" t="shared" si="6" ref="S23:U24">C23-O23</f>
        <v>7.764499999999998</v>
      </c>
      <c r="T23" s="203">
        <f t="shared" si="6"/>
        <v>1.0254999999999999</v>
      </c>
      <c r="U23" s="203">
        <f t="shared" si="6"/>
        <v>5.859999999999999</v>
      </c>
      <c r="V23" s="203">
        <f>SUM(S23:U23)</f>
        <v>14.649999999999997</v>
      </c>
    </row>
    <row r="24" spans="1:22" ht="19.5" customHeight="1">
      <c r="A24" s="4">
        <v>7</v>
      </c>
      <c r="B24" s="111" t="s">
        <v>142</v>
      </c>
      <c r="C24" s="219">
        <f>F24*53/100</f>
        <v>14.31</v>
      </c>
      <c r="D24" s="219">
        <f>F24*7/100</f>
        <v>1.89</v>
      </c>
      <c r="E24" s="219">
        <f>F24*40/100</f>
        <v>10.8</v>
      </c>
      <c r="F24" s="203">
        <v>27</v>
      </c>
      <c r="G24" s="219">
        <f>J24*53/100</f>
        <v>2.5704999999999996</v>
      </c>
      <c r="H24" s="219">
        <f>J24*7/100</f>
        <v>0.33949999999999997</v>
      </c>
      <c r="I24" s="219">
        <f>J24*40/100</f>
        <v>1.94</v>
      </c>
      <c r="J24" s="204">
        <v>4.85</v>
      </c>
      <c r="K24" s="219">
        <v>0</v>
      </c>
      <c r="L24" s="219">
        <v>0</v>
      </c>
      <c r="M24" s="219">
        <v>0</v>
      </c>
      <c r="N24" s="219">
        <v>0</v>
      </c>
      <c r="O24" s="106">
        <f t="shared" si="5"/>
        <v>2.5704999999999996</v>
      </c>
      <c r="P24" s="106">
        <f t="shared" si="5"/>
        <v>0.33949999999999997</v>
      </c>
      <c r="Q24" s="106">
        <f t="shared" si="5"/>
        <v>1.94</v>
      </c>
      <c r="R24" s="106">
        <f>SUM(O24:Q24)</f>
        <v>4.85</v>
      </c>
      <c r="S24" s="203">
        <f t="shared" si="6"/>
        <v>11.739500000000001</v>
      </c>
      <c r="T24" s="203">
        <f t="shared" si="6"/>
        <v>1.5505</v>
      </c>
      <c r="U24" s="203">
        <f t="shared" si="6"/>
        <v>8.860000000000001</v>
      </c>
      <c r="V24" s="203">
        <f>SUM(S24:U24)</f>
        <v>22.150000000000002</v>
      </c>
    </row>
    <row r="25" spans="1:22" ht="19.5" customHeight="1">
      <c r="A25" s="10"/>
      <c r="B25" s="111" t="s">
        <v>93</v>
      </c>
      <c r="C25" s="204">
        <f aca="true" t="shared" si="7" ref="C25:Q25">SUM(C23:C24)</f>
        <v>28.2914</v>
      </c>
      <c r="D25" s="204">
        <f t="shared" si="7"/>
        <v>3.7366</v>
      </c>
      <c r="E25" s="204">
        <f t="shared" si="7"/>
        <v>21.352</v>
      </c>
      <c r="F25" s="106">
        <f t="shared" si="7"/>
        <v>53.379999999999995</v>
      </c>
      <c r="G25" s="204">
        <f t="shared" si="7"/>
        <v>7.234500000000001</v>
      </c>
      <c r="H25" s="204">
        <f t="shared" si="7"/>
        <v>0.9555</v>
      </c>
      <c r="I25" s="204">
        <f t="shared" si="7"/>
        <v>5.46</v>
      </c>
      <c r="J25" s="204">
        <f t="shared" si="7"/>
        <v>13.65</v>
      </c>
      <c r="K25" s="204">
        <f t="shared" si="7"/>
        <v>1.5529000000000002</v>
      </c>
      <c r="L25" s="204">
        <f t="shared" si="7"/>
        <v>0.2051</v>
      </c>
      <c r="M25" s="204">
        <f t="shared" si="7"/>
        <v>1.172</v>
      </c>
      <c r="N25" s="204">
        <f t="shared" si="7"/>
        <v>2.93</v>
      </c>
      <c r="O25" s="106">
        <f t="shared" si="7"/>
        <v>8.7874</v>
      </c>
      <c r="P25" s="106">
        <f t="shared" si="7"/>
        <v>1.1606</v>
      </c>
      <c r="Q25" s="106">
        <f t="shared" si="7"/>
        <v>6.632</v>
      </c>
      <c r="R25" s="106">
        <f>SUM(O25:Q25)</f>
        <v>16.58</v>
      </c>
      <c r="S25" s="203">
        <f>SUM(S23:S24)</f>
        <v>19.503999999999998</v>
      </c>
      <c r="T25" s="203">
        <f>SUM(T23:T24)</f>
        <v>2.5759999999999996</v>
      </c>
      <c r="U25" s="203">
        <f>SUM(U23:U24)</f>
        <v>14.72</v>
      </c>
      <c r="V25" s="203">
        <f>SUM(V23:V24)</f>
        <v>36.8</v>
      </c>
    </row>
    <row r="26" spans="1:22" ht="27" customHeight="1">
      <c r="A26" s="10"/>
      <c r="B26" s="111" t="s">
        <v>38</v>
      </c>
      <c r="C26" s="106">
        <f aca="true" t="shared" si="8" ref="C26:V26">C21+C25</f>
        <v>541.5275</v>
      </c>
      <c r="D26" s="106">
        <f t="shared" si="8"/>
        <v>71.5225</v>
      </c>
      <c r="E26" s="106">
        <f t="shared" si="8"/>
        <v>408.7</v>
      </c>
      <c r="F26" s="106">
        <f t="shared" si="8"/>
        <v>1021.7500000000001</v>
      </c>
      <c r="G26" s="204">
        <f t="shared" si="8"/>
        <v>449.2121</v>
      </c>
      <c r="H26" s="204">
        <f t="shared" si="8"/>
        <v>59.329899999999995</v>
      </c>
      <c r="I26" s="204">
        <f t="shared" si="8"/>
        <v>339.02799999999996</v>
      </c>
      <c r="J26" s="204">
        <f t="shared" si="8"/>
        <v>847.5699999999999</v>
      </c>
      <c r="K26" s="204">
        <f t="shared" si="8"/>
        <v>45.05</v>
      </c>
      <c r="L26" s="204">
        <f t="shared" si="8"/>
        <v>5.95</v>
      </c>
      <c r="M26" s="204">
        <f t="shared" si="8"/>
        <v>34</v>
      </c>
      <c r="N26" s="204">
        <f t="shared" si="8"/>
        <v>85</v>
      </c>
      <c r="O26" s="106">
        <f t="shared" si="8"/>
        <v>494.2621</v>
      </c>
      <c r="P26" s="106">
        <f t="shared" si="8"/>
        <v>65.2799</v>
      </c>
      <c r="Q26" s="106">
        <f t="shared" si="8"/>
        <v>373.028</v>
      </c>
      <c r="R26" s="106">
        <f t="shared" si="8"/>
        <v>932.5700000000002</v>
      </c>
      <c r="S26" s="106">
        <f t="shared" si="8"/>
        <v>47.265400000000035</v>
      </c>
      <c r="T26" s="106">
        <f t="shared" si="8"/>
        <v>6.242600000000002</v>
      </c>
      <c r="U26" s="106">
        <f t="shared" si="8"/>
        <v>35.67199999999997</v>
      </c>
      <c r="V26" s="106">
        <f t="shared" si="8"/>
        <v>89.18</v>
      </c>
    </row>
    <row r="27" spans="2:10" ht="12.75">
      <c r="B27" s="132"/>
      <c r="E27" s="2"/>
      <c r="F27" s="198"/>
      <c r="J27" s="198"/>
    </row>
    <row r="28" spans="2:32" ht="25.5" customHeight="1">
      <c r="B28" s="132"/>
      <c r="F28" s="198"/>
      <c r="G28" s="314"/>
      <c r="J28" s="198"/>
      <c r="P28" s="278"/>
      <c r="Q28" s="278"/>
      <c r="AE28" s="2"/>
      <c r="AF28" s="2"/>
    </row>
    <row r="29" spans="2:32" ht="12.75">
      <c r="B29" s="132"/>
      <c r="F29" s="198"/>
      <c r="G29" s="314"/>
      <c r="J29" s="198"/>
      <c r="AE29" s="2"/>
      <c r="AF29" s="2"/>
    </row>
    <row r="30" spans="2:37" ht="12.75">
      <c r="B30" s="132"/>
      <c r="F30" s="198"/>
      <c r="G30" s="314"/>
      <c r="J30" s="198"/>
      <c r="AE30" s="79"/>
      <c r="AF30" s="79"/>
      <c r="AG30" s="79"/>
      <c r="AH30" s="79"/>
      <c r="AI30" s="79"/>
      <c r="AJ30" s="79"/>
      <c r="AK30" s="79"/>
    </row>
    <row r="31" spans="2:32" ht="12.75">
      <c r="B31" s="132"/>
      <c r="F31" s="198"/>
      <c r="G31" s="314"/>
      <c r="J31" s="198"/>
      <c r="AE31" s="13"/>
      <c r="AF31" s="13"/>
    </row>
    <row r="32" spans="2:10" ht="12.75">
      <c r="B32" s="132"/>
      <c r="F32" s="198"/>
      <c r="J32" s="198"/>
    </row>
    <row r="33" spans="2:27" ht="12.75">
      <c r="B33" s="132"/>
      <c r="F33" s="198"/>
      <c r="J33" s="198"/>
      <c r="W33" s="2"/>
      <c r="X33" s="2"/>
      <c r="Y33" s="2"/>
      <c r="Z33" s="2"/>
      <c r="AA33" s="2"/>
    </row>
    <row r="34" spans="2:30" ht="12.75" customHeight="1">
      <c r="B34" s="132"/>
      <c r="F34" s="198"/>
      <c r="J34" s="198"/>
      <c r="W34" s="80"/>
      <c r="X34" s="80"/>
      <c r="Y34" s="80"/>
      <c r="Z34" s="80"/>
      <c r="AA34" s="80"/>
      <c r="AB34" s="80"/>
      <c r="AC34" s="80"/>
      <c r="AD34" s="80"/>
    </row>
    <row r="35" spans="2:30" ht="12.75">
      <c r="B35" s="132"/>
      <c r="F35" s="198"/>
      <c r="J35" s="198"/>
      <c r="W35" s="79"/>
      <c r="X35" s="79"/>
      <c r="Y35" s="79"/>
      <c r="Z35" s="79"/>
      <c r="AA35" s="79"/>
      <c r="AB35" s="79"/>
      <c r="AC35" s="79"/>
      <c r="AD35" s="79"/>
    </row>
    <row r="36" spans="23:26" ht="12.75">
      <c r="W36" s="13"/>
      <c r="X36" s="13"/>
      <c r="Y36" s="13"/>
      <c r="Z36" s="13"/>
    </row>
    <row r="37" spans="1:22" ht="12.75" customHeight="1">
      <c r="A37" s="13" t="s">
        <v>12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617" t="s">
        <v>13</v>
      </c>
      <c r="T37" s="617"/>
      <c r="U37" s="617"/>
      <c r="V37" s="617"/>
    </row>
    <row r="38" spans="1:22" ht="15" customHeight="1">
      <c r="A38" s="617" t="s">
        <v>14</v>
      </c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</row>
    <row r="39" spans="1:22" ht="12.75" customHeight="1">
      <c r="A39" s="617" t="s">
        <v>20</v>
      </c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</row>
    <row r="40" spans="1:2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3" t="s">
        <v>86</v>
      </c>
      <c r="T40" s="3"/>
      <c r="U40" s="3"/>
      <c r="V40" s="3"/>
    </row>
  </sheetData>
  <sheetProtection/>
  <mergeCells count="19">
    <mergeCell ref="A38:V38"/>
    <mergeCell ref="S37:V37"/>
    <mergeCell ref="A39:V39"/>
    <mergeCell ref="Y17:AB17"/>
    <mergeCell ref="AB10:AD10"/>
    <mergeCell ref="A11:A12"/>
    <mergeCell ref="B11:B12"/>
    <mergeCell ref="C11:F12"/>
    <mergeCell ref="G12:J12"/>
    <mergeCell ref="K12:N12"/>
    <mergeCell ref="O12:R12"/>
    <mergeCell ref="G11:R11"/>
    <mergeCell ref="G2:O2"/>
    <mergeCell ref="A3:U3"/>
    <mergeCell ref="A4:U4"/>
    <mergeCell ref="A6:U6"/>
    <mergeCell ref="A8:C8"/>
    <mergeCell ref="U10:V10"/>
    <mergeCell ref="S11:V12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65" r:id="rId1"/>
  <colBreaks count="1" manualBreakCount="1">
    <brk id="2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5">
      <c r="A1" s="650" t="s">
        <v>0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143" t="s">
        <v>716</v>
      </c>
    </row>
    <row r="2" spans="1:11" ht="20.25">
      <c r="A2" s="736" t="s">
        <v>841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</row>
    <row r="3" spans="1:11" ht="13.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>
      <c r="A4" s="650" t="s">
        <v>717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</row>
    <row r="5" spans="1:12" ht="13.5">
      <c r="A5" s="121" t="s">
        <v>644</v>
      </c>
      <c r="B5" s="121"/>
      <c r="C5" s="121"/>
      <c r="D5" s="121"/>
      <c r="E5" s="121"/>
      <c r="F5" s="121"/>
      <c r="G5" s="121"/>
      <c r="H5" s="121"/>
      <c r="I5" s="121"/>
      <c r="J5" s="773" t="s">
        <v>843</v>
      </c>
      <c r="K5" s="773"/>
      <c r="L5" s="773"/>
    </row>
    <row r="6" spans="1:12" ht="21.75" customHeight="1">
      <c r="A6" s="743" t="s">
        <v>2</v>
      </c>
      <c r="B6" s="743" t="s">
        <v>39</v>
      </c>
      <c r="C6" s="560" t="s">
        <v>507</v>
      </c>
      <c r="D6" s="596"/>
      <c r="E6" s="561"/>
      <c r="F6" s="560" t="s">
        <v>513</v>
      </c>
      <c r="G6" s="596"/>
      <c r="H6" s="596"/>
      <c r="I6" s="561"/>
      <c r="J6" s="553" t="s">
        <v>515</v>
      </c>
      <c r="K6" s="553"/>
      <c r="L6" s="553"/>
    </row>
    <row r="7" spans="1:12" ht="29.25" customHeight="1">
      <c r="A7" s="744"/>
      <c r="B7" s="744"/>
      <c r="C7" s="137" t="s">
        <v>239</v>
      </c>
      <c r="D7" s="137" t="s">
        <v>509</v>
      </c>
      <c r="E7" s="137" t="s">
        <v>514</v>
      </c>
      <c r="F7" s="137" t="s">
        <v>239</v>
      </c>
      <c r="G7" s="137" t="s">
        <v>508</v>
      </c>
      <c r="H7" s="137" t="s">
        <v>510</v>
      </c>
      <c r="I7" s="137" t="s">
        <v>514</v>
      </c>
      <c r="J7" s="6" t="s">
        <v>511</v>
      </c>
      <c r="K7" s="6" t="s">
        <v>512</v>
      </c>
      <c r="L7" s="137" t="s">
        <v>514</v>
      </c>
    </row>
    <row r="8" spans="1:12" ht="13.5">
      <c r="A8" s="123" t="s">
        <v>288</v>
      </c>
      <c r="B8" s="123" t="s">
        <v>289</v>
      </c>
      <c r="C8" s="123" t="s">
        <v>290</v>
      </c>
      <c r="D8" s="123" t="s">
        <v>291</v>
      </c>
      <c r="E8" s="123" t="s">
        <v>292</v>
      </c>
      <c r="F8" s="123" t="s">
        <v>293</v>
      </c>
      <c r="G8" s="123" t="s">
        <v>294</v>
      </c>
      <c r="H8" s="123" t="s">
        <v>295</v>
      </c>
      <c r="I8" s="123" t="s">
        <v>307</v>
      </c>
      <c r="J8" s="123" t="s">
        <v>308</v>
      </c>
      <c r="K8" s="123" t="s">
        <v>309</v>
      </c>
      <c r="L8" s="123" t="s">
        <v>337</v>
      </c>
    </row>
    <row r="9" spans="1:14" ht="40.5" customHeight="1">
      <c r="A9" s="203">
        <v>1</v>
      </c>
      <c r="B9" s="100" t="s">
        <v>632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N9" t="s">
        <v>11</v>
      </c>
    </row>
    <row r="10" spans="1:12" ht="33.75" customHeight="1">
      <c r="A10" s="203">
        <v>2</v>
      </c>
      <c r="B10" s="100" t="s">
        <v>633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</row>
    <row r="11" spans="1:12" ht="34.5" customHeight="1">
      <c r="A11" s="203">
        <v>3</v>
      </c>
      <c r="B11" s="100" t="s">
        <v>634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</row>
    <row r="12" spans="1:12" ht="33.75" customHeight="1">
      <c r="A12" s="203">
        <v>4</v>
      </c>
      <c r="B12" s="100" t="s">
        <v>635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</row>
    <row r="13" spans="1:12" ht="51" customHeight="1">
      <c r="A13" s="203"/>
      <c r="B13" s="100" t="s">
        <v>625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</row>
    <row r="20" ht="12.75" customHeight="1"/>
    <row r="21" ht="12.75" customHeight="1"/>
    <row r="22" ht="12.75" customHeight="1"/>
    <row r="28" spans="1:11" ht="12.75">
      <c r="A28" s="13"/>
      <c r="B28" s="13"/>
      <c r="C28" s="13"/>
      <c r="D28" s="13"/>
      <c r="E28" s="13"/>
      <c r="F28" s="13"/>
      <c r="K28" s="80" t="s">
        <v>13</v>
      </c>
    </row>
    <row r="29" spans="1:12" ht="12.75">
      <c r="A29" s="13"/>
      <c r="B29" s="13"/>
      <c r="C29" s="13"/>
      <c r="D29" s="13"/>
      <c r="E29" s="13"/>
      <c r="F29" s="13"/>
      <c r="J29" s="602" t="s">
        <v>14</v>
      </c>
      <c r="K29" s="602"/>
      <c r="L29" s="602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 t="s">
        <v>12</v>
      </c>
      <c r="F31" s="13"/>
    </row>
  </sheetData>
  <sheetProtection/>
  <mergeCells count="10">
    <mergeCell ref="A1:K1"/>
    <mergeCell ref="C6:E6"/>
    <mergeCell ref="F6:I6"/>
    <mergeCell ref="J6:L6"/>
    <mergeCell ref="J29:L29"/>
    <mergeCell ref="A6:A7"/>
    <mergeCell ref="B6:B7"/>
    <mergeCell ref="A2:K2"/>
    <mergeCell ref="A4:K4"/>
    <mergeCell ref="J5:L5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0" zoomScaleSheetLayoutView="80" zoomScalePageLayoutView="0" workbookViewId="0" topLeftCell="A1">
      <selection activeCell="G5" sqref="G5:I5"/>
    </sheetView>
  </sheetViews>
  <sheetFormatPr defaultColWidth="9.140625" defaultRowHeight="12.75"/>
  <cols>
    <col min="1" max="1" width="7.7109375" style="0" customWidth="1"/>
    <col min="2" max="2" width="15.421875" style="0" customWidth="1"/>
    <col min="3" max="3" width="15.28125" style="0" customWidth="1"/>
    <col min="4" max="5" width="15.421875" style="0" customWidth="1"/>
    <col min="6" max="8" width="15.7109375" style="0" customWidth="1"/>
    <col min="9" max="9" width="14.28125" style="0" customWidth="1"/>
  </cols>
  <sheetData>
    <row r="1" spans="1:9" ht="15">
      <c r="A1" s="650" t="s">
        <v>0</v>
      </c>
      <c r="B1" s="650"/>
      <c r="C1" s="650"/>
      <c r="D1" s="650"/>
      <c r="E1" s="650"/>
      <c r="F1" s="650"/>
      <c r="G1" s="650"/>
      <c r="H1" s="650"/>
      <c r="I1" s="143" t="s">
        <v>718</v>
      </c>
    </row>
    <row r="2" spans="1:8" ht="20.25">
      <c r="A2" s="736" t="s">
        <v>841</v>
      </c>
      <c r="B2" s="736"/>
      <c r="C2" s="736"/>
      <c r="D2" s="736"/>
      <c r="E2" s="736"/>
      <c r="F2" s="736"/>
      <c r="G2" s="736"/>
      <c r="H2" s="736"/>
    </row>
    <row r="3" spans="1:8" ht="13.5">
      <c r="A3" s="120"/>
      <c r="B3" s="120"/>
      <c r="C3" s="120"/>
      <c r="D3" s="120"/>
      <c r="E3" s="120"/>
      <c r="F3" s="120"/>
      <c r="G3" s="120"/>
      <c r="H3" s="120"/>
    </row>
    <row r="4" spans="1:8" ht="15">
      <c r="A4" s="650" t="s">
        <v>719</v>
      </c>
      <c r="B4" s="650"/>
      <c r="C4" s="650"/>
      <c r="D4" s="650"/>
      <c r="E4" s="650"/>
      <c r="F4" s="650"/>
      <c r="G4" s="650"/>
      <c r="H4" s="650"/>
    </row>
    <row r="5" spans="1:9" ht="13.5">
      <c r="A5" s="121" t="s">
        <v>644</v>
      </c>
      <c r="B5" s="121"/>
      <c r="C5" s="121"/>
      <c r="D5" s="121"/>
      <c r="E5" s="121"/>
      <c r="F5" s="121"/>
      <c r="G5" s="780" t="s">
        <v>843</v>
      </c>
      <c r="H5" s="780"/>
      <c r="I5" s="780"/>
    </row>
    <row r="6" spans="1:9" ht="21.75" customHeight="1">
      <c r="A6" s="743" t="s">
        <v>2</v>
      </c>
      <c r="B6" s="743" t="s">
        <v>39</v>
      </c>
      <c r="C6" s="560" t="s">
        <v>525</v>
      </c>
      <c r="D6" s="596"/>
      <c r="E6" s="561"/>
      <c r="F6" s="560" t="s">
        <v>528</v>
      </c>
      <c r="G6" s="596"/>
      <c r="H6" s="561"/>
      <c r="I6" s="662" t="s">
        <v>80</v>
      </c>
    </row>
    <row r="7" spans="1:9" ht="26.25" customHeight="1">
      <c r="A7" s="744"/>
      <c r="B7" s="744"/>
      <c r="C7" s="6" t="s">
        <v>524</v>
      </c>
      <c r="D7" s="6" t="s">
        <v>526</v>
      </c>
      <c r="E7" s="6" t="s">
        <v>527</v>
      </c>
      <c r="F7" s="6" t="s">
        <v>524</v>
      </c>
      <c r="G7" s="6" t="s">
        <v>526</v>
      </c>
      <c r="H7" s="6" t="s">
        <v>527</v>
      </c>
      <c r="I7" s="663"/>
    </row>
    <row r="8" spans="1:9" ht="13.5">
      <c r="A8" s="188">
        <v>1</v>
      </c>
      <c r="B8" s="188">
        <v>2</v>
      </c>
      <c r="C8" s="188">
        <v>3</v>
      </c>
      <c r="D8" s="188">
        <v>4</v>
      </c>
      <c r="E8" s="188">
        <v>5</v>
      </c>
      <c r="F8" s="188">
        <v>6</v>
      </c>
      <c r="G8" s="188">
        <v>7</v>
      </c>
      <c r="H8" s="188">
        <v>8</v>
      </c>
      <c r="I8" s="188">
        <v>9</v>
      </c>
    </row>
    <row r="9" spans="1:9" ht="39.75" customHeight="1">
      <c r="A9" s="233">
        <v>1</v>
      </c>
      <c r="B9" s="234" t="s">
        <v>632</v>
      </c>
      <c r="C9" s="209"/>
      <c r="D9" s="209"/>
      <c r="E9" s="209"/>
      <c r="F9" s="209"/>
      <c r="G9" s="209"/>
      <c r="H9" s="209"/>
      <c r="I9" s="235"/>
    </row>
    <row r="10" spans="1:9" ht="39.75" customHeight="1">
      <c r="A10" s="233">
        <v>2</v>
      </c>
      <c r="B10" s="234" t="s">
        <v>633</v>
      </c>
      <c r="C10" s="774" t="s">
        <v>669</v>
      </c>
      <c r="D10" s="775"/>
      <c r="E10" s="775"/>
      <c r="F10" s="775"/>
      <c r="G10" s="775"/>
      <c r="H10" s="776"/>
      <c r="I10" s="235"/>
    </row>
    <row r="11" spans="1:9" ht="40.5" customHeight="1">
      <c r="A11" s="233">
        <v>3</v>
      </c>
      <c r="B11" s="234" t="s">
        <v>634</v>
      </c>
      <c r="C11" s="777"/>
      <c r="D11" s="778"/>
      <c r="E11" s="778"/>
      <c r="F11" s="778"/>
      <c r="G11" s="778"/>
      <c r="H11" s="779"/>
      <c r="I11" s="235"/>
    </row>
    <row r="12" spans="1:9" ht="44.25" customHeight="1">
      <c r="A12" s="233">
        <v>4</v>
      </c>
      <c r="B12" s="234" t="s">
        <v>635</v>
      </c>
      <c r="C12" s="209"/>
      <c r="D12" s="209"/>
      <c r="E12" s="209"/>
      <c r="F12" s="209"/>
      <c r="G12" s="209"/>
      <c r="H12" s="209"/>
      <c r="I12" s="235"/>
    </row>
    <row r="13" spans="1:9" ht="60.75" customHeight="1">
      <c r="A13" s="233"/>
      <c r="B13" s="234" t="s">
        <v>625</v>
      </c>
      <c r="C13" s="209"/>
      <c r="D13" s="209"/>
      <c r="E13" s="209"/>
      <c r="F13" s="209"/>
      <c r="G13" s="209"/>
      <c r="H13" s="209"/>
      <c r="I13" s="235"/>
    </row>
    <row r="20" spans="1:6" ht="12.75">
      <c r="A20" s="13"/>
      <c r="B20" s="13"/>
      <c r="C20" s="13"/>
      <c r="D20" s="13"/>
      <c r="E20" s="13"/>
      <c r="F20" s="13"/>
    </row>
    <row r="21" spans="1:9" ht="12.75">
      <c r="A21" s="13" t="s">
        <v>12</v>
      </c>
      <c r="B21" s="13"/>
      <c r="C21" s="13"/>
      <c r="D21" s="13"/>
      <c r="E21" s="13"/>
      <c r="F21" s="13"/>
      <c r="G21" s="602" t="s">
        <v>13</v>
      </c>
      <c r="H21" s="602"/>
      <c r="I21" s="602"/>
    </row>
    <row r="22" spans="1:9" ht="12.75">
      <c r="A22" s="13"/>
      <c r="B22" s="13"/>
      <c r="C22" s="13"/>
      <c r="D22" s="13"/>
      <c r="E22" s="13"/>
      <c r="F22" s="13"/>
      <c r="G22" s="602" t="s">
        <v>14</v>
      </c>
      <c r="H22" s="602"/>
      <c r="I22" s="602"/>
    </row>
    <row r="23" spans="6:9" ht="20.25" customHeight="1">
      <c r="F23" s="13"/>
      <c r="G23" s="602" t="s">
        <v>89</v>
      </c>
      <c r="H23" s="602"/>
      <c r="I23" s="602"/>
    </row>
    <row r="24" ht="12.75">
      <c r="H24" s="3" t="s">
        <v>86</v>
      </c>
    </row>
    <row r="28" ht="12.75" customHeight="1"/>
    <row r="29" ht="12.75" customHeight="1"/>
    <row r="30" ht="12.75" customHeight="1"/>
    <row r="31" ht="12.75" customHeight="1"/>
  </sheetData>
  <sheetProtection/>
  <mergeCells count="13">
    <mergeCell ref="G23:I23"/>
    <mergeCell ref="A1:H1"/>
    <mergeCell ref="A2:H2"/>
    <mergeCell ref="A4:H4"/>
    <mergeCell ref="I6:I7"/>
    <mergeCell ref="G21:I21"/>
    <mergeCell ref="G22:I22"/>
    <mergeCell ref="A6:A7"/>
    <mergeCell ref="B6:B7"/>
    <mergeCell ref="C10:H11"/>
    <mergeCell ref="C6:E6"/>
    <mergeCell ref="F6:H6"/>
    <mergeCell ref="G5:I5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77" zoomScaleNormal="85" zoomScaleSheetLayoutView="77" zoomScalePageLayoutView="0" workbookViewId="0" topLeftCell="A6">
      <selection activeCell="K16" sqref="K16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5.00390625" style="0" customWidth="1"/>
    <col min="10" max="10" width="14.57421875" style="0" customWidth="1"/>
    <col min="11" max="11" width="13.00390625" style="0" customWidth="1"/>
    <col min="12" max="12" width="23.140625" style="0" customWidth="1"/>
    <col min="13" max="13" width="11.28125" style="0" customWidth="1"/>
    <col min="14" max="14" width="19.28125" style="0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M1" s="664" t="s">
        <v>90</v>
      </c>
      <c r="N1" s="664"/>
    </row>
    <row r="2" spans="1:14" ht="18">
      <c r="A2" s="704" t="s">
        <v>0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</row>
    <row r="3" spans="1:14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7.5" customHeight="1">
      <c r="A5" s="782" t="s">
        <v>895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</row>
    <row r="6" spans="1:14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579" t="s">
        <v>643</v>
      </c>
      <c r="B7" s="579"/>
      <c r="C7" s="2"/>
      <c r="D7" s="2"/>
      <c r="E7" s="2"/>
      <c r="F7" s="2"/>
      <c r="G7" s="2"/>
      <c r="H7" s="781"/>
      <c r="I7" s="781"/>
      <c r="J7" s="2"/>
      <c r="K7" s="2"/>
      <c r="L7" s="2"/>
      <c r="M7" s="2"/>
      <c r="N7" s="2"/>
    </row>
    <row r="8" spans="1:14" ht="18">
      <c r="A8" s="68"/>
      <c r="B8" s="68"/>
      <c r="C8" s="2"/>
      <c r="D8" s="2"/>
      <c r="E8" s="2"/>
      <c r="F8" s="2"/>
      <c r="G8" s="2"/>
      <c r="H8" s="2"/>
      <c r="I8" s="163"/>
      <c r="J8" s="52"/>
      <c r="K8" s="52"/>
      <c r="L8" s="52" t="s">
        <v>843</v>
      </c>
      <c r="N8" s="2"/>
    </row>
    <row r="9" spans="1:12" ht="27.75" customHeight="1">
      <c r="A9" s="553" t="s">
        <v>241</v>
      </c>
      <c r="B9" s="553" t="s">
        <v>240</v>
      </c>
      <c r="C9" s="553" t="s">
        <v>534</v>
      </c>
      <c r="D9" s="553" t="s">
        <v>535</v>
      </c>
      <c r="E9" s="670" t="s">
        <v>536</v>
      </c>
      <c r="F9" s="670"/>
      <c r="G9" s="670" t="s">
        <v>488</v>
      </c>
      <c r="H9" s="670"/>
      <c r="I9" s="670" t="s">
        <v>252</v>
      </c>
      <c r="J9" s="670"/>
      <c r="K9" s="670" t="s">
        <v>256</v>
      </c>
      <c r="L9" s="670"/>
    </row>
    <row r="10" spans="1:12" ht="25.5">
      <c r="A10" s="783"/>
      <c r="B10" s="783"/>
      <c r="C10" s="553"/>
      <c r="D10" s="553"/>
      <c r="E10" s="6" t="s">
        <v>239</v>
      </c>
      <c r="F10" s="6" t="s">
        <v>221</v>
      </c>
      <c r="G10" s="6" t="s">
        <v>239</v>
      </c>
      <c r="H10" s="6" t="s">
        <v>221</v>
      </c>
      <c r="I10" s="6" t="s">
        <v>239</v>
      </c>
      <c r="J10" s="6" t="s">
        <v>221</v>
      </c>
      <c r="K10" s="6" t="s">
        <v>239</v>
      </c>
      <c r="L10" s="6" t="s">
        <v>221</v>
      </c>
    </row>
    <row r="11" spans="1:12" s="13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4">
        <v>11</v>
      </c>
      <c r="L11" s="4">
        <v>12</v>
      </c>
    </row>
    <row r="12" spans="1:12" ht="46.5" customHeight="1">
      <c r="A12" s="100">
        <v>1</v>
      </c>
      <c r="B12" s="100" t="s">
        <v>632</v>
      </c>
      <c r="C12" s="100">
        <v>160</v>
      </c>
      <c r="D12" s="100">
        <v>16058</v>
      </c>
      <c r="E12" s="100">
        <v>160</v>
      </c>
      <c r="F12" s="100">
        <v>16058</v>
      </c>
      <c r="G12" s="277">
        <v>160</v>
      </c>
      <c r="H12" s="100">
        <v>8000</v>
      </c>
      <c r="I12" s="100">
        <v>160</v>
      </c>
      <c r="J12" s="100">
        <v>15050</v>
      </c>
      <c r="K12" s="100">
        <v>35</v>
      </c>
      <c r="L12" s="100">
        <v>40</v>
      </c>
    </row>
    <row r="13" spans="1:12" ht="50.25" customHeight="1">
      <c r="A13" s="100">
        <v>2</v>
      </c>
      <c r="B13" s="100" t="s">
        <v>633</v>
      </c>
      <c r="C13" s="100">
        <v>242</v>
      </c>
      <c r="D13" s="100">
        <v>16571</v>
      </c>
      <c r="E13" s="100">
        <v>242</v>
      </c>
      <c r="F13" s="100">
        <v>16571</v>
      </c>
      <c r="G13" s="100">
        <v>242</v>
      </c>
      <c r="H13" s="100">
        <v>39406</v>
      </c>
      <c r="I13" s="100">
        <v>242</v>
      </c>
      <c r="J13" s="100">
        <v>24800</v>
      </c>
      <c r="K13" s="100">
        <v>0</v>
      </c>
      <c r="L13" s="100">
        <v>0</v>
      </c>
    </row>
    <row r="14" spans="1:12" ht="43.5" customHeight="1">
      <c r="A14" s="100">
        <v>3</v>
      </c>
      <c r="B14" s="100" t="s">
        <v>634</v>
      </c>
      <c r="C14" s="100">
        <v>27</v>
      </c>
      <c r="D14" s="100">
        <v>1932</v>
      </c>
      <c r="E14" s="100">
        <v>27</v>
      </c>
      <c r="F14" s="100">
        <v>1932</v>
      </c>
      <c r="G14" s="100">
        <v>27</v>
      </c>
      <c r="H14" s="100">
        <v>1932</v>
      </c>
      <c r="I14" s="100">
        <v>27</v>
      </c>
      <c r="J14" s="100">
        <v>1932</v>
      </c>
      <c r="K14" s="100">
        <v>0</v>
      </c>
      <c r="L14" s="100">
        <v>0</v>
      </c>
    </row>
    <row r="15" spans="1:12" ht="40.5" customHeight="1">
      <c r="A15" s="100">
        <v>4</v>
      </c>
      <c r="B15" s="100" t="s">
        <v>635</v>
      </c>
      <c r="C15" s="100">
        <v>152</v>
      </c>
      <c r="D15" s="100">
        <v>7919</v>
      </c>
      <c r="E15" s="100">
        <v>152</v>
      </c>
      <c r="F15" s="100">
        <v>7919</v>
      </c>
      <c r="G15" s="100">
        <v>147</v>
      </c>
      <c r="H15" s="100">
        <v>991</v>
      </c>
      <c r="I15" s="100">
        <v>152</v>
      </c>
      <c r="J15" s="100">
        <v>823</v>
      </c>
      <c r="K15" s="100">
        <v>0</v>
      </c>
      <c r="L15" s="100">
        <v>0</v>
      </c>
    </row>
    <row r="16" spans="1:12" ht="39.75" customHeight="1">
      <c r="A16" s="665" t="s">
        <v>19</v>
      </c>
      <c r="B16" s="666"/>
      <c r="C16" s="106">
        <f aca="true" t="shared" si="0" ref="C16:L16">SUM(C12:C15)</f>
        <v>581</v>
      </c>
      <c r="D16" s="106">
        <f t="shared" si="0"/>
        <v>42480</v>
      </c>
      <c r="E16" s="106">
        <f t="shared" si="0"/>
        <v>581</v>
      </c>
      <c r="F16" s="106">
        <f t="shared" si="0"/>
        <v>42480</v>
      </c>
      <c r="G16" s="106">
        <f t="shared" si="0"/>
        <v>576</v>
      </c>
      <c r="H16" s="106">
        <f t="shared" si="0"/>
        <v>50329</v>
      </c>
      <c r="I16" s="106">
        <f t="shared" si="0"/>
        <v>581</v>
      </c>
      <c r="J16" s="106">
        <f t="shared" si="0"/>
        <v>42605</v>
      </c>
      <c r="K16" s="106">
        <f t="shared" si="0"/>
        <v>35</v>
      </c>
      <c r="L16" s="106">
        <f t="shared" si="0"/>
        <v>40</v>
      </c>
    </row>
    <row r="17" spans="1:14" ht="12">
      <c r="A17" s="18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">
      <c r="A18" s="18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">
      <c r="A19" s="18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">
      <c r="A20" s="18"/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">
      <c r="A21" s="18"/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">
      <c r="A22" s="18"/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">
      <c r="A23" s="18"/>
      <c r="B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customHeight="1">
      <c r="A24" s="18"/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customHeight="1">
      <c r="A25" s="18"/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">
      <c r="A26" s="18"/>
      <c r="B26" s="1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">
      <c r="A27" s="18"/>
      <c r="B27" s="1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1" spans="1:14" ht="12">
      <c r="A31" s="784"/>
      <c r="B31" s="784"/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</row>
    <row r="32" spans="1:14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12" t="s">
        <v>12</v>
      </c>
      <c r="B33" s="12"/>
      <c r="C33" s="12"/>
      <c r="D33" s="12"/>
      <c r="E33" s="12"/>
      <c r="F33" s="12"/>
      <c r="G33" s="12"/>
      <c r="H33" s="12"/>
      <c r="I33" s="12"/>
      <c r="J33" s="655" t="s">
        <v>13</v>
      </c>
      <c r="K33" s="655"/>
      <c r="L33" s="655"/>
      <c r="M33" s="655"/>
      <c r="N33" s="655"/>
    </row>
    <row r="34" spans="1:14" ht="15">
      <c r="A34" s="655" t="s">
        <v>14</v>
      </c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</row>
    <row r="35" spans="1:14" ht="15">
      <c r="A35" s="655" t="s">
        <v>15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</row>
    <row r="36" spans="1:14" ht="15.75" customHeight="1">
      <c r="A36" s="2"/>
      <c r="B36" s="2"/>
      <c r="C36" s="2"/>
      <c r="D36" s="2"/>
      <c r="E36" s="2"/>
      <c r="F36" s="2"/>
      <c r="K36" s="13" t="s">
        <v>86</v>
      </c>
      <c r="L36" s="13"/>
      <c r="M36" s="13"/>
      <c r="N36" s="13"/>
    </row>
    <row r="37" ht="15" customHeight="1"/>
  </sheetData>
  <sheetProtection/>
  <mergeCells count="20">
    <mergeCell ref="A35:N35"/>
    <mergeCell ref="B9:B10"/>
    <mergeCell ref="A9:A10"/>
    <mergeCell ref="C9:C10"/>
    <mergeCell ref="A31:J31"/>
    <mergeCell ref="A34:N34"/>
    <mergeCell ref="J33:N33"/>
    <mergeCell ref="A16:B16"/>
    <mergeCell ref="E9:F9"/>
    <mergeCell ref="K31:N31"/>
    <mergeCell ref="M1:N1"/>
    <mergeCell ref="G9:H9"/>
    <mergeCell ref="H7:I7"/>
    <mergeCell ref="D9:D10"/>
    <mergeCell ref="K9:L9"/>
    <mergeCell ref="A7:B7"/>
    <mergeCell ref="A5:N5"/>
    <mergeCell ref="A3:N3"/>
    <mergeCell ref="A2:N2"/>
    <mergeCell ref="I9:J9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65" r:id="rId1"/>
  <colBreaks count="1" manualBreakCount="1">
    <brk id="14" max="37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9" zoomScaleSheetLayoutView="69" zoomScalePageLayoutView="0" workbookViewId="0" topLeftCell="A1">
      <selection activeCell="F19" sqref="F19"/>
    </sheetView>
  </sheetViews>
  <sheetFormatPr defaultColWidth="8.8515625" defaultRowHeight="12.75"/>
  <cols>
    <col min="1" max="1" width="11.140625" style="2" customWidth="1"/>
    <col min="2" max="2" width="19.140625" style="2" customWidth="1"/>
    <col min="3" max="3" width="20.57421875" style="2" customWidth="1"/>
    <col min="4" max="4" width="22.28125" style="2" customWidth="1"/>
    <col min="5" max="5" width="25.421875" style="2" customWidth="1"/>
    <col min="6" max="6" width="27.421875" style="2" customWidth="1"/>
    <col min="7" max="16384" width="8.8515625" style="2" customWidth="1"/>
  </cols>
  <sheetData>
    <row r="1" spans="4:6" ht="12.75" customHeight="1">
      <c r="D1" s="13"/>
      <c r="E1" s="13"/>
      <c r="F1" s="179" t="s">
        <v>104</v>
      </c>
    </row>
    <row r="2" spans="2:6" ht="15" customHeight="1">
      <c r="B2" s="582" t="s">
        <v>0</v>
      </c>
      <c r="C2" s="582"/>
      <c r="D2" s="582"/>
      <c r="E2" s="582"/>
      <c r="F2" s="582"/>
    </row>
    <row r="3" spans="2:6" ht="19.5">
      <c r="B3" s="674" t="s">
        <v>841</v>
      </c>
      <c r="C3" s="674"/>
      <c r="D3" s="674"/>
      <c r="E3" s="674"/>
      <c r="F3" s="674"/>
    </row>
    <row r="4" ht="11.25" customHeight="1"/>
    <row r="5" spans="1:6" ht="12.75">
      <c r="A5" s="785" t="s">
        <v>485</v>
      </c>
      <c r="B5" s="785"/>
      <c r="C5" s="785"/>
      <c r="D5" s="785"/>
      <c r="E5" s="785"/>
      <c r="F5" s="785"/>
    </row>
    <row r="6" spans="1:6" ht="8.25" customHeight="1">
      <c r="A6" s="36"/>
      <c r="B6" s="36"/>
      <c r="C6" s="36"/>
      <c r="D6" s="36"/>
      <c r="E6" s="36"/>
      <c r="F6" s="36"/>
    </row>
    <row r="7" spans="1:2" ht="18" customHeight="1">
      <c r="A7" s="579" t="s">
        <v>644</v>
      </c>
      <c r="B7" s="579"/>
    </row>
    <row r="8" ht="18" customHeight="1" hidden="1">
      <c r="A8" s="68" t="s">
        <v>1</v>
      </c>
    </row>
    <row r="9" spans="1:6" ht="30" customHeight="1">
      <c r="A9" s="553" t="s">
        <v>2</v>
      </c>
      <c r="B9" s="553" t="s">
        <v>3</v>
      </c>
      <c r="C9" s="586" t="s">
        <v>481</v>
      </c>
      <c r="D9" s="725"/>
      <c r="E9" s="586" t="s">
        <v>484</v>
      </c>
      <c r="F9" s="587"/>
    </row>
    <row r="10" spans="1:6" s="13" customFormat="1" ht="25.5">
      <c r="A10" s="553"/>
      <c r="B10" s="553"/>
      <c r="C10" s="6" t="s">
        <v>482</v>
      </c>
      <c r="D10" s="6" t="s">
        <v>483</v>
      </c>
      <c r="E10" s="6" t="s">
        <v>482</v>
      </c>
      <c r="F10" s="6" t="s">
        <v>483</v>
      </c>
    </row>
    <row r="11" spans="1:6" ht="12">
      <c r="A11" s="105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</row>
    <row r="12" spans="1:6" ht="47.25" customHeight="1">
      <c r="A12" s="100">
        <v>1</v>
      </c>
      <c r="B12" s="100" t="s">
        <v>632</v>
      </c>
      <c r="C12" s="100">
        <v>140</v>
      </c>
      <c r="D12" s="100">
        <v>140</v>
      </c>
      <c r="E12" s="100">
        <v>133</v>
      </c>
      <c r="F12" s="100">
        <v>133</v>
      </c>
    </row>
    <row r="13" spans="1:6" ht="36" customHeight="1">
      <c r="A13" s="100">
        <v>2</v>
      </c>
      <c r="B13" s="100" t="s">
        <v>633</v>
      </c>
      <c r="C13" s="100">
        <v>144</v>
      </c>
      <c r="D13" s="100">
        <v>144</v>
      </c>
      <c r="E13" s="100">
        <v>98</v>
      </c>
      <c r="F13" s="100">
        <v>98</v>
      </c>
    </row>
    <row r="14" spans="1:6" ht="31.5" customHeight="1">
      <c r="A14" s="100">
        <v>3</v>
      </c>
      <c r="B14" s="100" t="s">
        <v>634</v>
      </c>
      <c r="C14" s="100">
        <v>62</v>
      </c>
      <c r="D14" s="100">
        <v>33</v>
      </c>
      <c r="E14" s="100">
        <v>33</v>
      </c>
      <c r="F14" s="100">
        <v>33</v>
      </c>
    </row>
    <row r="15" spans="1:6" ht="37.5" customHeight="1">
      <c r="A15" s="100">
        <v>4</v>
      </c>
      <c r="B15" s="100" t="s">
        <v>635</v>
      </c>
      <c r="C15" s="100">
        <v>148</v>
      </c>
      <c r="D15" s="100">
        <v>148</v>
      </c>
      <c r="E15" s="100">
        <v>109</v>
      </c>
      <c r="F15" s="100">
        <v>109</v>
      </c>
    </row>
    <row r="16" spans="1:6" ht="45" customHeight="1">
      <c r="A16" s="665" t="s">
        <v>19</v>
      </c>
      <c r="B16" s="666"/>
      <c r="C16" s="106">
        <f>SUM(C12:C15)</f>
        <v>494</v>
      </c>
      <c r="D16" s="106">
        <f>SUM(D12:D15)</f>
        <v>465</v>
      </c>
      <c r="E16" s="106">
        <f>SUM(E12:E15)</f>
        <v>373</v>
      </c>
      <c r="F16" s="106">
        <f>SUM(F12:F15)</f>
        <v>373</v>
      </c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">
      <c r="C28" s="2" t="s">
        <v>11</v>
      </c>
    </row>
    <row r="29" spans="1:6" ht="15">
      <c r="A29" s="12" t="s">
        <v>12</v>
      </c>
      <c r="B29" s="12"/>
      <c r="C29" s="12"/>
      <c r="D29" s="12"/>
      <c r="E29" s="12"/>
      <c r="F29" s="12"/>
    </row>
    <row r="30" spans="1:6" ht="15">
      <c r="A30" s="655" t="s">
        <v>14</v>
      </c>
      <c r="B30" s="655"/>
      <c r="C30" s="655"/>
      <c r="D30" s="655"/>
      <c r="E30" s="655"/>
      <c r="F30" s="655"/>
    </row>
    <row r="31" spans="1:6" ht="15.75" customHeight="1">
      <c r="A31" s="655" t="s">
        <v>15</v>
      </c>
      <c r="B31" s="655"/>
      <c r="C31" s="655"/>
      <c r="D31" s="655"/>
      <c r="E31" s="655"/>
      <c r="F31" s="655"/>
    </row>
    <row r="32" ht="15" customHeight="1"/>
    <row r="33" spans="1:6" ht="12">
      <c r="A33" s="588"/>
      <c r="B33" s="588"/>
      <c r="C33" s="588"/>
      <c r="D33" s="588"/>
      <c r="E33" s="588"/>
      <c r="F33" s="588"/>
    </row>
  </sheetData>
  <sheetProtection/>
  <mergeCells count="12">
    <mergeCell ref="B9:B10"/>
    <mergeCell ref="A7:B7"/>
    <mergeCell ref="A31:F31"/>
    <mergeCell ref="A33:F33"/>
    <mergeCell ref="A30:F30"/>
    <mergeCell ref="B3:F3"/>
    <mergeCell ref="B2:F2"/>
    <mergeCell ref="A5:F5"/>
    <mergeCell ref="C9:D9"/>
    <mergeCell ref="E9:F9"/>
    <mergeCell ref="A9:A10"/>
    <mergeCell ref="A16:B16"/>
  </mergeCells>
  <printOptions horizontalCentered="1"/>
  <pageMargins left="0.708661417322835" right="0.708661417322835" top="1.22047244094488" bottom="0.19687500000000002" header="0.31496062992126" footer="0.31496062992126"/>
  <pageSetup horizontalDpi="600" verticalDpi="600" orientation="landscape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90" zoomScaleNormal="85" zoomScaleSheetLayoutView="90" zoomScalePageLayoutView="0" workbookViewId="0" topLeftCell="A5">
      <selection activeCell="G11" sqref="G11:G15"/>
    </sheetView>
  </sheetViews>
  <sheetFormatPr defaultColWidth="9.140625" defaultRowHeight="12.75"/>
  <cols>
    <col min="2" max="2" width="12.710937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2"/>
      <c r="B1" s="2"/>
      <c r="C1" s="2"/>
      <c r="D1" s="723"/>
      <c r="E1" s="723"/>
      <c r="F1" s="30"/>
      <c r="G1" s="723" t="s">
        <v>487</v>
      </c>
      <c r="H1" s="723"/>
      <c r="I1" s="723"/>
      <c r="J1" s="723"/>
      <c r="K1" s="32"/>
      <c r="L1" s="2"/>
      <c r="M1" s="2"/>
    </row>
    <row r="2" spans="1:13" ht="1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2"/>
      <c r="L2" s="2"/>
      <c r="M2" s="2"/>
    </row>
    <row r="3" spans="1:13" ht="18">
      <c r="A3" s="29"/>
      <c r="B3" s="29"/>
      <c r="C3" s="704" t="s">
        <v>841</v>
      </c>
      <c r="D3" s="704"/>
      <c r="E3" s="704"/>
      <c r="F3" s="704"/>
      <c r="G3" s="704"/>
      <c r="H3" s="704"/>
      <c r="I3" s="704"/>
      <c r="J3" s="29"/>
      <c r="K3" s="2"/>
      <c r="L3" s="2"/>
      <c r="M3" s="2"/>
    </row>
    <row r="4" spans="1:13" ht="15">
      <c r="A4" s="584" t="s">
        <v>486</v>
      </c>
      <c r="B4" s="584"/>
      <c r="C4" s="584"/>
      <c r="D4" s="584"/>
      <c r="E4" s="584"/>
      <c r="F4" s="584"/>
      <c r="G4" s="584"/>
      <c r="H4" s="584"/>
      <c r="I4" s="584"/>
      <c r="J4" s="584"/>
      <c r="K4" s="2"/>
      <c r="L4" s="2"/>
      <c r="M4" s="2"/>
    </row>
    <row r="5" spans="1:13" ht="15">
      <c r="A5" s="579" t="s">
        <v>644</v>
      </c>
      <c r="B5" s="579"/>
      <c r="C5" s="36"/>
      <c r="D5" s="36"/>
      <c r="E5" s="36"/>
      <c r="F5" s="36"/>
      <c r="G5" s="36"/>
      <c r="H5" s="36"/>
      <c r="I5" s="36"/>
      <c r="J5" s="36"/>
      <c r="K5" s="2"/>
      <c r="L5" s="2"/>
      <c r="M5" s="2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6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1.75" customHeight="1">
      <c r="A8" s="662" t="s">
        <v>2</v>
      </c>
      <c r="B8" s="662" t="s">
        <v>3</v>
      </c>
      <c r="C8" s="787" t="s">
        <v>155</v>
      </c>
      <c r="D8" s="788"/>
      <c r="E8" s="788"/>
      <c r="F8" s="788"/>
      <c r="G8" s="788"/>
      <c r="H8" s="788"/>
      <c r="I8" s="788"/>
      <c r="J8" s="789"/>
      <c r="K8" s="2"/>
      <c r="L8" s="2"/>
      <c r="M8" s="2"/>
    </row>
    <row r="9" spans="1:13" ht="39.75" customHeight="1">
      <c r="A9" s="663"/>
      <c r="B9" s="663"/>
      <c r="C9" s="6" t="s">
        <v>219</v>
      </c>
      <c r="D9" s="6" t="s">
        <v>130</v>
      </c>
      <c r="E9" s="6" t="s">
        <v>417</v>
      </c>
      <c r="F9" s="75" t="s">
        <v>185</v>
      </c>
      <c r="G9" s="75" t="s">
        <v>131</v>
      </c>
      <c r="H9" s="99" t="s">
        <v>218</v>
      </c>
      <c r="I9" s="99" t="s">
        <v>238</v>
      </c>
      <c r="J9" s="7" t="s">
        <v>19</v>
      </c>
      <c r="K9" s="13"/>
      <c r="L9" s="13"/>
      <c r="M9" s="13"/>
    </row>
    <row r="10" spans="1:10" s="13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8">
        <v>8</v>
      </c>
      <c r="I10" s="8">
        <v>9</v>
      </c>
      <c r="J10" s="7">
        <v>10</v>
      </c>
    </row>
    <row r="11" spans="1:13" ht="45" customHeight="1">
      <c r="A11" s="100">
        <v>1</v>
      </c>
      <c r="B11" s="210" t="s">
        <v>632</v>
      </c>
      <c r="C11" s="219">
        <v>9</v>
      </c>
      <c r="D11" s="219">
        <v>29</v>
      </c>
      <c r="E11" s="219">
        <v>216</v>
      </c>
      <c r="F11" s="219">
        <v>0</v>
      </c>
      <c r="G11" s="494">
        <v>0</v>
      </c>
      <c r="H11" s="341">
        <v>0</v>
      </c>
      <c r="I11" s="341">
        <v>17</v>
      </c>
      <c r="J11" s="392">
        <f>SUM(C11:I11)</f>
        <v>271</v>
      </c>
      <c r="K11" s="2"/>
      <c r="L11" s="2"/>
      <c r="M11" s="2"/>
    </row>
    <row r="12" spans="1:13" ht="35.25" customHeight="1">
      <c r="A12" s="100">
        <v>2</v>
      </c>
      <c r="B12" s="210" t="s">
        <v>633</v>
      </c>
      <c r="C12" s="219">
        <v>25</v>
      </c>
      <c r="D12" s="219">
        <v>90</v>
      </c>
      <c r="E12" s="219">
        <v>78</v>
      </c>
      <c r="F12" s="219">
        <v>0</v>
      </c>
      <c r="G12" s="494">
        <v>0</v>
      </c>
      <c r="H12" s="341">
        <v>0</v>
      </c>
      <c r="I12" s="341">
        <v>50</v>
      </c>
      <c r="J12" s="392">
        <f>SUM(C12:I12)</f>
        <v>243</v>
      </c>
      <c r="K12" s="2"/>
      <c r="L12" s="2"/>
      <c r="M12" s="2"/>
    </row>
    <row r="13" spans="1:13" ht="29.25" customHeight="1">
      <c r="A13" s="100">
        <v>3</v>
      </c>
      <c r="B13" s="210" t="s">
        <v>634</v>
      </c>
      <c r="C13" s="219">
        <v>0</v>
      </c>
      <c r="D13" s="219">
        <v>33</v>
      </c>
      <c r="E13" s="219">
        <v>62</v>
      </c>
      <c r="F13" s="219">
        <v>0</v>
      </c>
      <c r="G13" s="494">
        <v>0</v>
      </c>
      <c r="H13" s="341">
        <v>0</v>
      </c>
      <c r="I13" s="341">
        <v>0</v>
      </c>
      <c r="J13" s="392">
        <f>SUM(C13:I13)</f>
        <v>95</v>
      </c>
      <c r="K13" s="2"/>
      <c r="L13" s="2"/>
      <c r="M13" s="2"/>
    </row>
    <row r="14" spans="1:13" ht="33.75" customHeight="1">
      <c r="A14" s="100">
        <v>4</v>
      </c>
      <c r="B14" s="210" t="s">
        <v>635</v>
      </c>
      <c r="C14" s="219">
        <v>0</v>
      </c>
      <c r="D14" s="219">
        <v>118</v>
      </c>
      <c r="E14" s="219">
        <v>129</v>
      </c>
      <c r="F14" s="219">
        <v>0</v>
      </c>
      <c r="G14" s="494">
        <v>0</v>
      </c>
      <c r="H14" s="341">
        <v>0</v>
      </c>
      <c r="I14" s="341">
        <v>12</v>
      </c>
      <c r="J14" s="392">
        <f>SUM(C14:I14)</f>
        <v>259</v>
      </c>
      <c r="K14" s="2"/>
      <c r="L14" s="2"/>
      <c r="M14" s="2"/>
    </row>
    <row r="15" spans="1:13" ht="42.75" customHeight="1">
      <c r="A15" s="106" t="s">
        <v>19</v>
      </c>
      <c r="B15" s="193"/>
      <c r="C15" s="204">
        <f aca="true" t="shared" si="0" ref="C15:J15">SUM(C11:C14)</f>
        <v>34</v>
      </c>
      <c r="D15" s="204">
        <f t="shared" si="0"/>
        <v>270</v>
      </c>
      <c r="E15" s="204">
        <f t="shared" si="0"/>
        <v>485</v>
      </c>
      <c r="F15" s="204">
        <f t="shared" si="0"/>
        <v>0</v>
      </c>
      <c r="G15" s="505">
        <f t="shared" si="0"/>
        <v>0</v>
      </c>
      <c r="H15" s="383">
        <f t="shared" si="0"/>
        <v>0</v>
      </c>
      <c r="I15" s="383">
        <f t="shared" si="0"/>
        <v>79</v>
      </c>
      <c r="J15" s="393">
        <f t="shared" si="0"/>
        <v>868</v>
      </c>
      <c r="K15" s="2"/>
      <c r="L15" s="2"/>
      <c r="M15" s="2"/>
    </row>
    <row r="16" spans="1:13" ht="12">
      <c r="A16" s="1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">
      <c r="A17" s="2"/>
      <c r="B17" s="2"/>
      <c r="C17" s="2"/>
      <c r="D17" s="2"/>
      <c r="E17" s="2"/>
      <c r="F17" s="2"/>
      <c r="G17" s="439" t="s">
        <v>944</v>
      </c>
      <c r="H17" s="2"/>
      <c r="I17" s="2"/>
      <c r="J17" s="2"/>
      <c r="K17" s="2"/>
      <c r="L17" s="2"/>
      <c r="M17" s="2"/>
    </row>
    <row r="18" spans="1:13" ht="12">
      <c r="A18" s="2" t="s">
        <v>132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">
      <c r="A19" s="2" t="s">
        <v>220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">
      <c r="A20" t="s">
        <v>133</v>
      </c>
      <c r="K20" s="2"/>
      <c r="L20" s="2"/>
      <c r="M20" s="2"/>
    </row>
    <row r="21" spans="1:13" ht="12">
      <c r="A21" s="784" t="s">
        <v>134</v>
      </c>
      <c r="B21" s="784"/>
      <c r="C21" s="784"/>
      <c r="D21" s="784"/>
      <c r="E21" s="784"/>
      <c r="F21" s="784"/>
      <c r="G21" s="784"/>
      <c r="H21" s="784"/>
      <c r="I21" s="784"/>
      <c r="J21" s="784"/>
      <c r="K21" s="2"/>
      <c r="L21" s="2"/>
      <c r="M21" s="2"/>
    </row>
    <row r="22" spans="1:13" ht="12">
      <c r="A22" s="786" t="s">
        <v>135</v>
      </c>
      <c r="B22" s="786"/>
      <c r="C22" s="786"/>
      <c r="D22" s="786"/>
      <c r="E22" s="2"/>
      <c r="F22" s="2"/>
      <c r="G22" s="2"/>
      <c r="H22" s="2"/>
      <c r="I22" s="2"/>
      <c r="J22" s="2"/>
      <c r="K22" s="2"/>
      <c r="L22" s="2"/>
      <c r="M22" s="2"/>
    </row>
    <row r="23" spans="1:13" ht="12">
      <c r="A23" s="18" t="s">
        <v>186</v>
      </c>
      <c r="B23" s="18"/>
      <c r="C23" s="18"/>
      <c r="D23" s="18"/>
      <c r="E23" s="2"/>
      <c r="F23" s="2"/>
      <c r="G23" s="2"/>
      <c r="H23" s="2"/>
      <c r="I23" s="2"/>
      <c r="J23" s="2"/>
      <c r="K23" s="2"/>
      <c r="L23" s="2"/>
      <c r="M23" s="2"/>
    </row>
    <row r="24" spans="1:13" ht="12">
      <c r="A24" s="18"/>
      <c r="B24" s="18"/>
      <c r="C24" s="18"/>
      <c r="D24" s="18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12" t="s">
        <v>12</v>
      </c>
      <c r="B25" s="12"/>
      <c r="C25" s="12"/>
      <c r="D25" s="12"/>
      <c r="E25" s="12"/>
      <c r="F25" s="12"/>
      <c r="G25" s="12"/>
      <c r="H25" s="12"/>
      <c r="I25" s="12"/>
      <c r="J25" s="89" t="s">
        <v>13</v>
      </c>
      <c r="K25" s="2"/>
      <c r="L25" s="2"/>
      <c r="M25" s="2"/>
    </row>
    <row r="26" spans="1:13" ht="15">
      <c r="A26" s="655" t="s">
        <v>14</v>
      </c>
      <c r="B26" s="655"/>
      <c r="C26" s="655"/>
      <c r="D26" s="655"/>
      <c r="E26" s="655"/>
      <c r="F26" s="655"/>
      <c r="G26" s="655"/>
      <c r="H26" s="655"/>
      <c r="I26" s="655"/>
      <c r="J26" s="655"/>
      <c r="K26" s="2"/>
      <c r="L26" s="2"/>
      <c r="M26" s="2"/>
    </row>
    <row r="27" spans="1:13" ht="15">
      <c r="A27" s="655" t="s">
        <v>15</v>
      </c>
      <c r="B27" s="655"/>
      <c r="C27" s="655"/>
      <c r="D27" s="655"/>
      <c r="E27" s="655"/>
      <c r="F27" s="655"/>
      <c r="G27" s="655"/>
      <c r="H27" s="655"/>
      <c r="I27" s="655"/>
      <c r="J27" s="655"/>
      <c r="L27" s="2"/>
      <c r="M27" s="2"/>
    </row>
    <row r="28" spans="1:13" ht="12.75">
      <c r="A28" s="2"/>
      <c r="B28" s="2"/>
      <c r="C28" s="2"/>
      <c r="D28" s="2"/>
      <c r="E28" s="2"/>
      <c r="F28" s="2"/>
      <c r="G28" s="585" t="s">
        <v>86</v>
      </c>
      <c r="H28" s="585"/>
      <c r="I28" s="585"/>
      <c r="J28" s="585"/>
      <c r="K28" s="2"/>
      <c r="L28" s="2"/>
      <c r="M28" s="2"/>
    </row>
    <row r="29" spans="1:13" ht="12">
      <c r="A29" s="588"/>
      <c r="B29" s="588"/>
      <c r="C29" s="588"/>
      <c r="D29" s="588"/>
      <c r="E29" s="588"/>
      <c r="F29" s="588"/>
      <c r="G29" s="588"/>
      <c r="H29" s="588"/>
      <c r="I29" s="588"/>
      <c r="J29" s="588"/>
      <c r="K29" s="2"/>
      <c r="L29" s="2"/>
      <c r="M29" s="2"/>
    </row>
    <row r="30" spans="11:13" ht="12">
      <c r="K30" s="2"/>
      <c r="L30" s="2"/>
      <c r="M30" s="2"/>
    </row>
    <row r="31" spans="11:13" ht="12">
      <c r="K31" s="2"/>
      <c r="L31" s="2"/>
      <c r="M31" s="2"/>
    </row>
    <row r="33" spans="11:13" ht="12">
      <c r="K33" s="784"/>
      <c r="L33" s="784"/>
      <c r="M33" s="784"/>
    </row>
    <row r="34" spans="11:13" ht="12">
      <c r="K34" s="2"/>
      <c r="L34" s="2"/>
      <c r="M34" s="2"/>
    </row>
    <row r="35" spans="11:13" ht="12">
      <c r="K35" s="2"/>
      <c r="L35" s="2"/>
      <c r="M35" s="2"/>
    </row>
    <row r="36" spans="11:13" ht="12">
      <c r="K36" s="2"/>
      <c r="L36" s="2"/>
      <c r="M36" s="2"/>
    </row>
    <row r="37" spans="11:13" ht="15">
      <c r="K37" s="89"/>
      <c r="L37" s="2"/>
      <c r="M37" s="2"/>
    </row>
    <row r="38" spans="11:13" ht="12">
      <c r="K38" s="2"/>
      <c r="L38" s="2"/>
      <c r="M38" s="2"/>
    </row>
    <row r="39" spans="11:13" ht="15.75" customHeight="1">
      <c r="K39" s="89"/>
      <c r="L39" s="2"/>
      <c r="M39" s="2"/>
    </row>
    <row r="40" spans="11:13" ht="12.75">
      <c r="K40" s="13"/>
      <c r="L40" s="13"/>
      <c r="M40" s="2"/>
    </row>
    <row r="41" spans="11:13" ht="12">
      <c r="K41" s="2"/>
      <c r="L41" s="2"/>
      <c r="M41" s="2"/>
    </row>
  </sheetData>
  <sheetProtection/>
  <mergeCells count="17"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  <mergeCell ref="G28:J28"/>
    <mergeCell ref="A29:J29"/>
    <mergeCell ref="A26:J26"/>
    <mergeCell ref="A21:D21"/>
    <mergeCell ref="E21:J21"/>
    <mergeCell ref="A22:D22"/>
    <mergeCell ref="A27:J27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8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2">
      <selection activeCell="F12" sqref="F12"/>
    </sheetView>
  </sheetViews>
  <sheetFormatPr defaultColWidth="9.140625" defaultRowHeight="12.75"/>
  <cols>
    <col min="10" max="10" width="8.42187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23" t="s">
        <v>678</v>
      </c>
      <c r="M1" s="723"/>
    </row>
    <row r="2" spans="1:13" ht="1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</row>
    <row r="3" spans="1:13" ht="19.5">
      <c r="A3" s="674" t="s">
        <v>841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</row>
    <row r="4" spans="1:13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584" t="s">
        <v>679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579" t="s">
        <v>739</v>
      </c>
      <c r="B7" s="579"/>
      <c r="C7" s="24"/>
      <c r="D7" s="24"/>
      <c r="E7" s="24"/>
      <c r="F7" s="2"/>
      <c r="G7" s="2"/>
      <c r="H7" s="2"/>
      <c r="I7" s="2"/>
      <c r="J7" s="2"/>
      <c r="K7" s="2"/>
      <c r="L7" s="2"/>
      <c r="M7" s="2"/>
    </row>
    <row r="8" spans="1:13" ht="18">
      <c r="A8" s="68"/>
      <c r="B8" s="68"/>
      <c r="C8" s="68"/>
      <c r="D8" s="68"/>
      <c r="E8" s="68"/>
      <c r="F8" s="2"/>
      <c r="G8" s="2"/>
      <c r="H8" s="2"/>
      <c r="I8" s="2"/>
      <c r="J8" s="2"/>
      <c r="K8" s="2"/>
      <c r="L8" s="2"/>
      <c r="M8" s="2"/>
    </row>
    <row r="9" spans="1:13" ht="12.75">
      <c r="A9" s="553" t="s">
        <v>2</v>
      </c>
      <c r="B9" s="553" t="s">
        <v>3</v>
      </c>
      <c r="C9" s="596" t="s">
        <v>130</v>
      </c>
      <c r="D9" s="596"/>
      <c r="E9" s="561"/>
      <c r="F9" s="560" t="s">
        <v>131</v>
      </c>
      <c r="G9" s="596"/>
      <c r="H9" s="596"/>
      <c r="I9" s="561"/>
      <c r="J9" s="560" t="s">
        <v>218</v>
      </c>
      <c r="K9" s="596"/>
      <c r="L9" s="596"/>
      <c r="M9" s="561"/>
    </row>
    <row r="10" spans="1:13" ht="51.75">
      <c r="A10" s="553"/>
      <c r="B10" s="553"/>
      <c r="C10" s="91" t="s">
        <v>419</v>
      </c>
      <c r="D10" s="5" t="s">
        <v>416</v>
      </c>
      <c r="E10" s="91" t="s">
        <v>221</v>
      </c>
      <c r="F10" s="5" t="s">
        <v>414</v>
      </c>
      <c r="G10" s="91" t="s">
        <v>415</v>
      </c>
      <c r="H10" s="5" t="s">
        <v>416</v>
      </c>
      <c r="I10" s="91" t="s">
        <v>221</v>
      </c>
      <c r="J10" s="5" t="s">
        <v>418</v>
      </c>
      <c r="K10" s="91" t="s">
        <v>415</v>
      </c>
      <c r="L10" s="5" t="s">
        <v>416</v>
      </c>
      <c r="M10" s="6" t="s">
        <v>221</v>
      </c>
    </row>
    <row r="11" spans="1:13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</row>
    <row r="12" spans="1:13" ht="22.5" customHeight="1">
      <c r="A12" s="15">
        <v>1</v>
      </c>
      <c r="B12" s="193" t="s">
        <v>632</v>
      </c>
      <c r="C12" s="100">
        <v>29</v>
      </c>
      <c r="D12" s="100">
        <v>29</v>
      </c>
      <c r="E12" s="100">
        <v>4500</v>
      </c>
      <c r="F12" s="100">
        <v>0</v>
      </c>
      <c r="G12" s="100">
        <v>0</v>
      </c>
      <c r="H12" s="100">
        <v>0</v>
      </c>
      <c r="I12" s="100">
        <v>0</v>
      </c>
      <c r="J12" s="100"/>
      <c r="K12" s="100">
        <v>0</v>
      </c>
      <c r="L12" s="100">
        <v>0</v>
      </c>
      <c r="M12" s="100">
        <v>0</v>
      </c>
    </row>
    <row r="13" spans="1:13" ht="20.25" customHeight="1">
      <c r="A13" s="15">
        <v>2</v>
      </c>
      <c r="B13" s="193" t="s">
        <v>633</v>
      </c>
      <c r="C13" s="100">
        <v>90</v>
      </c>
      <c r="D13" s="100">
        <v>90</v>
      </c>
      <c r="E13" s="100">
        <v>3880</v>
      </c>
      <c r="F13" s="100">
        <v>0</v>
      </c>
      <c r="G13" s="100">
        <v>0</v>
      </c>
      <c r="H13" s="100">
        <v>0</v>
      </c>
      <c r="I13" s="100">
        <v>0</v>
      </c>
      <c r="J13" s="100"/>
      <c r="K13" s="100">
        <v>0</v>
      </c>
      <c r="L13" s="100">
        <v>0</v>
      </c>
      <c r="M13" s="100">
        <v>0</v>
      </c>
    </row>
    <row r="14" spans="1:13" ht="21" customHeight="1">
      <c r="A14" s="15">
        <v>3</v>
      </c>
      <c r="B14" s="193" t="s">
        <v>634</v>
      </c>
      <c r="C14" s="15">
        <v>95</v>
      </c>
      <c r="D14" s="15">
        <v>95</v>
      </c>
      <c r="E14" s="15">
        <v>4434</v>
      </c>
      <c r="F14" s="100">
        <v>0</v>
      </c>
      <c r="G14" s="100">
        <v>0</v>
      </c>
      <c r="H14" s="100">
        <v>0</v>
      </c>
      <c r="I14" s="100">
        <v>0</v>
      </c>
      <c r="J14" s="100"/>
      <c r="K14" s="100">
        <v>0</v>
      </c>
      <c r="L14" s="100">
        <v>0</v>
      </c>
      <c r="M14" s="100">
        <v>0</v>
      </c>
    </row>
    <row r="15" spans="1:13" ht="24.75" customHeight="1">
      <c r="A15" s="15">
        <v>4</v>
      </c>
      <c r="B15" s="193" t="s">
        <v>635</v>
      </c>
      <c r="C15" s="100">
        <v>50</v>
      </c>
      <c r="D15" s="100">
        <v>35</v>
      </c>
      <c r="E15" s="100">
        <v>4500</v>
      </c>
      <c r="F15" s="100">
        <v>0</v>
      </c>
      <c r="G15" s="100">
        <v>0</v>
      </c>
      <c r="H15" s="100">
        <v>0</v>
      </c>
      <c r="I15" s="100">
        <v>0</v>
      </c>
      <c r="J15" s="100"/>
      <c r="K15" s="100">
        <v>0</v>
      </c>
      <c r="L15" s="100">
        <v>0</v>
      </c>
      <c r="M15" s="100">
        <v>0</v>
      </c>
    </row>
    <row r="16" spans="1:13" ht="21" customHeight="1">
      <c r="A16" s="15"/>
      <c r="B16" s="193" t="s">
        <v>625</v>
      </c>
      <c r="C16" s="106">
        <f>SUM(C12:C15)</f>
        <v>264</v>
      </c>
      <c r="D16" s="106">
        <f>SUM(D12:D15)</f>
        <v>249</v>
      </c>
      <c r="E16" s="106">
        <f>SUM(E12:E15)</f>
        <v>17314</v>
      </c>
      <c r="F16" s="100">
        <v>0</v>
      </c>
      <c r="G16" s="100">
        <v>0</v>
      </c>
      <c r="H16" s="100">
        <v>0</v>
      </c>
      <c r="I16" s="100">
        <v>0</v>
      </c>
      <c r="J16" s="100"/>
      <c r="K16" s="100">
        <v>0</v>
      </c>
      <c r="L16" s="100">
        <v>0</v>
      </c>
      <c r="M16" s="100">
        <v>0</v>
      </c>
    </row>
    <row r="17" spans="1:13" ht="12">
      <c r="A17" s="18"/>
      <c r="B17" s="18"/>
      <c r="C17" s="18"/>
      <c r="D17" s="18"/>
      <c r="E17" s="18"/>
      <c r="F17" s="2"/>
      <c r="G17" s="2"/>
      <c r="H17" s="2"/>
      <c r="I17" s="2"/>
      <c r="J17" s="2"/>
      <c r="K17" s="2"/>
      <c r="L17" s="2"/>
      <c r="M17" s="2"/>
    </row>
    <row r="18" spans="1:13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1" spans="1:13" ht="12">
      <c r="A21" s="784"/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11"/>
    </row>
    <row r="22" spans="1:13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12" t="s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658" t="s">
        <v>13</v>
      </c>
      <c r="L23" s="658"/>
      <c r="M23" s="658"/>
    </row>
    <row r="24" spans="1:13" ht="15">
      <c r="A24" s="655" t="s">
        <v>14</v>
      </c>
      <c r="B24" s="655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</row>
    <row r="25" spans="1:13" ht="15">
      <c r="A25" s="655" t="s">
        <v>15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</row>
    <row r="26" spans="1:13" ht="12.75">
      <c r="A26" s="2"/>
      <c r="B26" s="2"/>
      <c r="C26" s="2"/>
      <c r="D26" s="2"/>
      <c r="E26" s="2"/>
      <c r="F26" s="2"/>
      <c r="G26" s="2"/>
      <c r="L26" s="13" t="s">
        <v>86</v>
      </c>
      <c r="M26" s="13"/>
    </row>
  </sheetData>
  <sheetProtection/>
  <mergeCells count="14">
    <mergeCell ref="L1:M1"/>
    <mergeCell ref="A2:M2"/>
    <mergeCell ref="A3:M3"/>
    <mergeCell ref="A5:M5"/>
    <mergeCell ref="A7:B7"/>
    <mergeCell ref="A9:A10"/>
    <mergeCell ref="B9:B10"/>
    <mergeCell ref="C9:E9"/>
    <mergeCell ref="F9:I9"/>
    <mergeCell ref="J9:M9"/>
    <mergeCell ref="A21:L21"/>
    <mergeCell ref="K23:M23"/>
    <mergeCell ref="A24:M24"/>
    <mergeCell ref="A25:M25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85" zoomScaleSheetLayoutView="85" zoomScalePageLayoutView="0" workbookViewId="0" topLeftCell="A6">
      <selection activeCell="G14" sqref="G14"/>
    </sheetView>
  </sheetViews>
  <sheetFormatPr defaultColWidth="9.140625" defaultRowHeight="12.75"/>
  <cols>
    <col min="1" max="1" width="5.851562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5">
      <c r="A1" s="650" t="s">
        <v>0</v>
      </c>
      <c r="B1" s="650"/>
      <c r="C1" s="650"/>
      <c r="D1" s="650"/>
      <c r="E1" s="650"/>
      <c r="F1" s="650"/>
      <c r="G1" s="650"/>
      <c r="H1" s="650"/>
      <c r="I1" s="650"/>
      <c r="J1" s="796" t="s">
        <v>720</v>
      </c>
      <c r="K1" s="796"/>
    </row>
    <row r="2" spans="1:11" ht="20.25">
      <c r="A2" s="736" t="s">
        <v>841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</row>
    <row r="3" spans="1:11" ht="13.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3.5">
      <c r="A4" s="797" t="s">
        <v>721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</row>
    <row r="5" spans="1:12" ht="13.5">
      <c r="A5" s="121" t="s">
        <v>651</v>
      </c>
      <c r="B5" s="121"/>
      <c r="C5" s="121"/>
      <c r="D5" s="121"/>
      <c r="E5" s="121"/>
      <c r="F5" s="121"/>
      <c r="G5" s="121"/>
      <c r="H5" s="121"/>
      <c r="I5" s="120"/>
      <c r="J5" s="738" t="s">
        <v>843</v>
      </c>
      <c r="K5" s="738"/>
      <c r="L5" s="738"/>
    </row>
    <row r="6" spans="1:11" ht="32.25" customHeight="1">
      <c r="A6" s="739" t="s">
        <v>2</v>
      </c>
      <c r="B6" s="739" t="s">
        <v>3</v>
      </c>
      <c r="C6" s="739" t="s">
        <v>318</v>
      </c>
      <c r="D6" s="739" t="s">
        <v>319</v>
      </c>
      <c r="E6" s="739"/>
      <c r="F6" s="739"/>
      <c r="G6" s="739"/>
      <c r="H6" s="739"/>
      <c r="I6" s="740" t="s">
        <v>320</v>
      </c>
      <c r="J6" s="741"/>
      <c r="K6" s="742"/>
    </row>
    <row r="7" spans="1:11" ht="90" customHeight="1">
      <c r="A7" s="739"/>
      <c r="B7" s="739"/>
      <c r="C7" s="739"/>
      <c r="D7" s="137" t="s">
        <v>321</v>
      </c>
      <c r="E7" s="137" t="s">
        <v>221</v>
      </c>
      <c r="F7" s="137" t="s">
        <v>489</v>
      </c>
      <c r="G7" s="137" t="s">
        <v>322</v>
      </c>
      <c r="H7" s="137" t="s">
        <v>455</v>
      </c>
      <c r="I7" s="137" t="s">
        <v>323</v>
      </c>
      <c r="J7" s="137" t="s">
        <v>324</v>
      </c>
      <c r="K7" s="137" t="s">
        <v>325</v>
      </c>
    </row>
    <row r="8" spans="1:11" ht="13.5">
      <c r="A8" s="123" t="s">
        <v>288</v>
      </c>
      <c r="B8" s="123" t="s">
        <v>289</v>
      </c>
      <c r="C8" s="123" t="s">
        <v>290</v>
      </c>
      <c r="D8" s="123" t="s">
        <v>291</v>
      </c>
      <c r="E8" s="123" t="s">
        <v>292</v>
      </c>
      <c r="F8" s="123" t="s">
        <v>293</v>
      </c>
      <c r="G8" s="123" t="s">
        <v>294</v>
      </c>
      <c r="H8" s="123" t="s">
        <v>295</v>
      </c>
      <c r="I8" s="123" t="s">
        <v>307</v>
      </c>
      <c r="J8" s="123" t="s">
        <v>308</v>
      </c>
      <c r="K8" s="123" t="s">
        <v>309</v>
      </c>
    </row>
    <row r="9" spans="1:11" ht="49.5" customHeight="1">
      <c r="A9" s="9">
        <v>1</v>
      </c>
      <c r="B9" s="16" t="s">
        <v>632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43.5" customHeight="1">
      <c r="A10" s="9">
        <v>2</v>
      </c>
      <c r="B10" s="16" t="s">
        <v>633</v>
      </c>
      <c r="C10" s="10"/>
      <c r="D10" s="790" t="s">
        <v>641</v>
      </c>
      <c r="E10" s="791"/>
      <c r="F10" s="791"/>
      <c r="G10" s="791"/>
      <c r="H10" s="791"/>
      <c r="I10" s="791"/>
      <c r="J10" s="792"/>
      <c r="K10" s="10"/>
    </row>
    <row r="11" spans="1:11" ht="37.5" customHeight="1">
      <c r="A11" s="9">
        <v>3</v>
      </c>
      <c r="B11" s="16" t="s">
        <v>634</v>
      </c>
      <c r="C11" s="10"/>
      <c r="D11" s="793"/>
      <c r="E11" s="794"/>
      <c r="F11" s="794"/>
      <c r="G11" s="794"/>
      <c r="H11" s="794"/>
      <c r="I11" s="794"/>
      <c r="J11" s="795"/>
      <c r="K11" s="10"/>
    </row>
    <row r="12" spans="1:11" ht="46.5" customHeight="1">
      <c r="A12" s="9">
        <v>4</v>
      </c>
      <c r="B12" s="16" t="s">
        <v>635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49.5" customHeight="1">
      <c r="A13" s="23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5" ht="12.75">
      <c r="A15" s="13" t="s">
        <v>490</v>
      </c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7" spans="1:11" ht="12.75">
      <c r="A27" s="13"/>
      <c r="B27" s="13"/>
      <c r="C27" s="13"/>
      <c r="D27" s="13"/>
      <c r="I27" s="617" t="s">
        <v>13</v>
      </c>
      <c r="J27" s="617"/>
      <c r="K27" s="617"/>
    </row>
    <row r="28" spans="1:11" ht="12.75" customHeight="1">
      <c r="A28" s="13"/>
      <c r="B28" s="13"/>
      <c r="C28" s="13"/>
      <c r="D28" s="13"/>
      <c r="I28" s="617" t="s">
        <v>14</v>
      </c>
      <c r="J28" s="617"/>
      <c r="K28" s="617"/>
    </row>
    <row r="29" spans="1:11" ht="12.75">
      <c r="A29" s="13"/>
      <c r="B29" s="13"/>
      <c r="C29" s="13"/>
      <c r="D29" s="13"/>
      <c r="I29" s="602" t="s">
        <v>89</v>
      </c>
      <c r="J29" s="602"/>
      <c r="K29" s="602"/>
    </row>
    <row r="30" spans="1:12" ht="15" customHeight="1">
      <c r="A30" s="13" t="s">
        <v>12</v>
      </c>
      <c r="C30" s="13"/>
      <c r="D30" s="13"/>
      <c r="I30" s="585" t="s">
        <v>86</v>
      </c>
      <c r="J30" s="585"/>
      <c r="K30" s="13"/>
      <c r="L30" s="64"/>
    </row>
    <row r="31" ht="15" customHeight="1">
      <c r="L31" s="64"/>
    </row>
  </sheetData>
  <sheetProtection/>
  <mergeCells count="15">
    <mergeCell ref="B6:B7"/>
    <mergeCell ref="C6:C7"/>
    <mergeCell ref="D6:H6"/>
    <mergeCell ref="I6:K6"/>
    <mergeCell ref="I27:K27"/>
    <mergeCell ref="I28:K28"/>
    <mergeCell ref="I29:K29"/>
    <mergeCell ref="I30:J30"/>
    <mergeCell ref="D10:J11"/>
    <mergeCell ref="A1:I1"/>
    <mergeCell ref="J1:K1"/>
    <mergeCell ref="A2:K2"/>
    <mergeCell ref="A4:K4"/>
    <mergeCell ref="J5:L5"/>
    <mergeCell ref="A6:A7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M4" sqref="M4:O4"/>
    </sheetView>
  </sheetViews>
  <sheetFormatPr defaultColWidth="9.140625" defaultRowHeight="12.75"/>
  <sheetData>
    <row r="1" spans="1:15" ht="20.25">
      <c r="A1" s="736" t="s">
        <v>841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</row>
    <row r="2" spans="1:11" ht="13.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5" ht="15">
      <c r="A3" s="650" t="s">
        <v>680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</row>
    <row r="4" spans="1:15" ht="13.5">
      <c r="A4" s="121" t="s">
        <v>675</v>
      </c>
      <c r="B4" s="121"/>
      <c r="C4" s="121"/>
      <c r="D4" s="121"/>
      <c r="E4" s="121"/>
      <c r="F4" s="121"/>
      <c r="G4" s="121"/>
      <c r="H4" s="121"/>
      <c r="I4" s="121"/>
      <c r="J4" s="121"/>
      <c r="K4" s="120"/>
      <c r="M4" s="738" t="s">
        <v>843</v>
      </c>
      <c r="N4" s="738"/>
      <c r="O4" s="738"/>
    </row>
    <row r="5" spans="1:15" ht="13.5">
      <c r="A5" s="739" t="s">
        <v>2</v>
      </c>
      <c r="B5" s="739" t="s">
        <v>3</v>
      </c>
      <c r="C5" s="739" t="s">
        <v>326</v>
      </c>
      <c r="D5" s="743" t="s">
        <v>327</v>
      </c>
      <c r="E5" s="743" t="s">
        <v>328</v>
      </c>
      <c r="F5" s="743" t="s">
        <v>329</v>
      </c>
      <c r="G5" s="743" t="s">
        <v>330</v>
      </c>
      <c r="H5" s="739" t="s">
        <v>331</v>
      </c>
      <c r="I5" s="739"/>
      <c r="J5" s="739" t="s">
        <v>332</v>
      </c>
      <c r="K5" s="739"/>
      <c r="L5" s="739" t="s">
        <v>333</v>
      </c>
      <c r="M5" s="739"/>
      <c r="N5" s="739" t="s">
        <v>334</v>
      </c>
      <c r="O5" s="739"/>
    </row>
    <row r="6" spans="1:15" ht="27">
      <c r="A6" s="739"/>
      <c r="B6" s="739"/>
      <c r="C6" s="739"/>
      <c r="D6" s="744"/>
      <c r="E6" s="744"/>
      <c r="F6" s="744"/>
      <c r="G6" s="744"/>
      <c r="H6" s="137" t="s">
        <v>335</v>
      </c>
      <c r="I6" s="137" t="s">
        <v>336</v>
      </c>
      <c r="J6" s="137" t="s">
        <v>335</v>
      </c>
      <c r="K6" s="137" t="s">
        <v>336</v>
      </c>
      <c r="L6" s="137" t="s">
        <v>335</v>
      </c>
      <c r="M6" s="137" t="s">
        <v>336</v>
      </c>
      <c r="N6" s="137" t="s">
        <v>335</v>
      </c>
      <c r="O6" s="137" t="s">
        <v>336</v>
      </c>
    </row>
    <row r="7" spans="1:15" ht="13.5">
      <c r="A7" s="123" t="s">
        <v>288</v>
      </c>
      <c r="B7" s="123" t="s">
        <v>289</v>
      </c>
      <c r="C7" s="123" t="s">
        <v>290</v>
      </c>
      <c r="D7" s="123" t="s">
        <v>291</v>
      </c>
      <c r="E7" s="123" t="s">
        <v>292</v>
      </c>
      <c r="F7" s="123" t="s">
        <v>293</v>
      </c>
      <c r="G7" s="123" t="s">
        <v>294</v>
      </c>
      <c r="H7" s="123" t="s">
        <v>295</v>
      </c>
      <c r="I7" s="123" t="s">
        <v>307</v>
      </c>
      <c r="J7" s="123" t="s">
        <v>308</v>
      </c>
      <c r="K7" s="123" t="s">
        <v>309</v>
      </c>
      <c r="L7" s="123" t="s">
        <v>337</v>
      </c>
      <c r="M7" s="123" t="s">
        <v>338</v>
      </c>
      <c r="N7" s="123" t="s">
        <v>339</v>
      </c>
      <c r="O7" s="123" t="s">
        <v>340</v>
      </c>
    </row>
    <row r="8" spans="1:15" ht="24.75" customHeight="1">
      <c r="A8" s="193">
        <v>1</v>
      </c>
      <c r="B8" s="193" t="s">
        <v>632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3.25" customHeight="1">
      <c r="A9" s="193">
        <v>2</v>
      </c>
      <c r="B9" s="193" t="s">
        <v>633</v>
      </c>
      <c r="C9" s="10"/>
      <c r="D9" s="798" t="s">
        <v>641</v>
      </c>
      <c r="E9" s="799"/>
      <c r="F9" s="799"/>
      <c r="G9" s="799"/>
      <c r="H9" s="799"/>
      <c r="I9" s="799"/>
      <c r="J9" s="799"/>
      <c r="K9" s="800"/>
      <c r="L9" s="10"/>
      <c r="M9" s="10"/>
      <c r="N9" s="10"/>
      <c r="O9" s="10"/>
    </row>
    <row r="10" spans="1:15" ht="24.75" customHeight="1">
      <c r="A10" s="193">
        <v>3</v>
      </c>
      <c r="B10" s="193" t="s">
        <v>634</v>
      </c>
      <c r="C10" s="10"/>
      <c r="D10" s="801"/>
      <c r="E10" s="802"/>
      <c r="F10" s="802"/>
      <c r="G10" s="802"/>
      <c r="H10" s="802"/>
      <c r="I10" s="802"/>
      <c r="J10" s="802"/>
      <c r="K10" s="803"/>
      <c r="L10" s="10"/>
      <c r="M10" s="10"/>
      <c r="N10" s="10"/>
      <c r="O10" s="10"/>
    </row>
    <row r="11" spans="1:15" ht="26.25" customHeight="1">
      <c r="A11" s="193">
        <v>4</v>
      </c>
      <c r="B11" s="193" t="s">
        <v>635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4.75" customHeight="1">
      <c r="A12" s="193"/>
      <c r="B12" s="193" t="s">
        <v>625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12">
      <c r="B13" s="254"/>
    </row>
    <row r="14" ht="12">
      <c r="B14" s="254"/>
    </row>
    <row r="15" ht="12">
      <c r="B15" s="254"/>
    </row>
    <row r="16" ht="12">
      <c r="B16" s="254"/>
    </row>
    <row r="17" ht="12">
      <c r="B17" s="254"/>
    </row>
    <row r="18" ht="12">
      <c r="B18" s="254"/>
    </row>
    <row r="19" ht="12">
      <c r="B19" s="254"/>
    </row>
    <row r="20" ht="12">
      <c r="B20" s="254"/>
    </row>
    <row r="21" ht="12">
      <c r="B21" s="254"/>
    </row>
    <row r="24" spans="1:15" ht="12.75">
      <c r="A24" s="13"/>
      <c r="B24" s="13"/>
      <c r="C24" s="13"/>
      <c r="D24" s="13"/>
      <c r="L24" s="602" t="s">
        <v>13</v>
      </c>
      <c r="M24" s="602"/>
      <c r="N24" s="602"/>
      <c r="O24" s="602"/>
    </row>
    <row r="25" spans="1:15" ht="12.75">
      <c r="A25" s="13"/>
      <c r="B25" s="13"/>
      <c r="C25" s="13"/>
      <c r="D25" s="13"/>
      <c r="L25" s="602" t="s">
        <v>14</v>
      </c>
      <c r="M25" s="602"/>
      <c r="N25" s="602"/>
      <c r="O25" s="602"/>
    </row>
    <row r="26" spans="1:15" ht="12.75">
      <c r="A26" s="13"/>
      <c r="B26" s="13"/>
      <c r="C26" s="13"/>
      <c r="D26" s="13"/>
      <c r="L26" s="602" t="s">
        <v>89</v>
      </c>
      <c r="M26" s="602"/>
      <c r="N26" s="602"/>
      <c r="O26" s="602"/>
    </row>
    <row r="27" spans="1:15" ht="12.75">
      <c r="A27" s="13" t="s">
        <v>12</v>
      </c>
      <c r="C27" s="13"/>
      <c r="D27" s="13"/>
      <c r="L27" s="585" t="s">
        <v>86</v>
      </c>
      <c r="M27" s="585"/>
      <c r="N27" s="585"/>
      <c r="O27" s="13"/>
    </row>
  </sheetData>
  <sheetProtection/>
  <mergeCells count="19">
    <mergeCell ref="A1:O1"/>
    <mergeCell ref="A3:O3"/>
    <mergeCell ref="M4:O4"/>
    <mergeCell ref="A5:A6"/>
    <mergeCell ref="B5:B6"/>
    <mergeCell ref="C5:C6"/>
    <mergeCell ref="D5:D6"/>
    <mergeCell ref="E5:E6"/>
    <mergeCell ref="F5:F6"/>
    <mergeCell ref="G5:G6"/>
    <mergeCell ref="L26:O26"/>
    <mergeCell ref="L27:N27"/>
    <mergeCell ref="H5:I5"/>
    <mergeCell ref="J5:K5"/>
    <mergeCell ref="L5:M5"/>
    <mergeCell ref="N5:O5"/>
    <mergeCell ref="L24:O24"/>
    <mergeCell ref="L25:O25"/>
    <mergeCell ref="D9:K10"/>
  </mergeCells>
  <printOptions horizontalCentered="1"/>
  <pageMargins left="0.708661417322835" right="0.708661417322835" top="1.33858267716535" bottom="0.748031496062992" header="0.31496062992126" footer="0.31496062992126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90" zoomScaleSheetLayoutView="90" zoomScalePageLayoutView="0" workbookViewId="0" topLeftCell="A7">
      <selection activeCell="E12" sqref="E12:P12"/>
    </sheetView>
  </sheetViews>
  <sheetFormatPr defaultColWidth="9.140625" defaultRowHeight="12.75"/>
  <cols>
    <col min="1" max="1" width="8.57421875" style="13" customWidth="1"/>
    <col min="2" max="2" width="17.8515625" style="13" customWidth="1"/>
    <col min="3" max="3" width="12.8515625" style="13" customWidth="1"/>
    <col min="4" max="4" width="15.140625" style="13" customWidth="1"/>
    <col min="5" max="13" width="9.57421875" style="13" customWidth="1"/>
    <col min="14" max="16384" width="9.140625" style="13" customWidth="1"/>
  </cols>
  <sheetData>
    <row r="1" spans="8:12" ht="12.75">
      <c r="H1" s="585"/>
      <c r="I1" s="585"/>
      <c r="L1" s="126" t="s">
        <v>722</v>
      </c>
    </row>
    <row r="2" spans="1:16" ht="12.75">
      <c r="A2" s="585" t="s">
        <v>523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12" customFormat="1" ht="15">
      <c r="A3" s="551" t="s">
        <v>896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</row>
    <row r="4" spans="1:16" s="12" customFormat="1" ht="20.25" customHeight="1">
      <c r="A4" s="551" t="s">
        <v>897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6" spans="1:13" s="12" customFormat="1" ht="1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804"/>
      <c r="L6" s="804"/>
      <c r="M6" s="804"/>
    </row>
    <row r="8" spans="1:2" ht="12.75">
      <c r="A8" s="13" t="s">
        <v>644</v>
      </c>
      <c r="B8" s="2"/>
    </row>
    <row r="10" spans="11:16" ht="15" customHeight="1">
      <c r="K10" s="653" t="s">
        <v>843</v>
      </c>
      <c r="L10" s="653"/>
      <c r="M10" s="653"/>
      <c r="N10" s="653"/>
      <c r="O10" s="653"/>
      <c r="P10" s="653"/>
    </row>
    <row r="11" spans="1:16" ht="20.25" customHeight="1">
      <c r="A11" s="805" t="s">
        <v>2</v>
      </c>
      <c r="B11" s="805" t="s">
        <v>3</v>
      </c>
      <c r="C11" s="746" t="s">
        <v>297</v>
      </c>
      <c r="D11" s="746" t="s">
        <v>298</v>
      </c>
      <c r="E11" s="748" t="s">
        <v>299</v>
      </c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50"/>
    </row>
    <row r="12" spans="1:16" ht="30" customHeight="1">
      <c r="A12" s="806"/>
      <c r="B12" s="806"/>
      <c r="C12" s="747"/>
      <c r="D12" s="747"/>
      <c r="E12" s="204" t="s">
        <v>945</v>
      </c>
      <c r="F12" s="204" t="s">
        <v>750</v>
      </c>
      <c r="G12" s="204" t="s">
        <v>946</v>
      </c>
      <c r="H12" s="204" t="s">
        <v>947</v>
      </c>
      <c r="I12" s="204" t="s">
        <v>948</v>
      </c>
      <c r="J12" s="204" t="s">
        <v>949</v>
      </c>
      <c r="K12" s="204" t="s">
        <v>950</v>
      </c>
      <c r="L12" s="204" t="s">
        <v>951</v>
      </c>
      <c r="M12" s="204" t="s">
        <v>952</v>
      </c>
      <c r="N12" s="106" t="s">
        <v>953</v>
      </c>
      <c r="O12" s="106" t="s">
        <v>954</v>
      </c>
      <c r="P12" s="106" t="s">
        <v>938</v>
      </c>
    </row>
    <row r="13" spans="1:16" ht="12.75" customHeight="1">
      <c r="A13" s="128">
        <v>1</v>
      </c>
      <c r="B13" s="128">
        <v>2</v>
      </c>
      <c r="C13" s="128">
        <v>3</v>
      </c>
      <c r="D13" s="128">
        <v>4</v>
      </c>
      <c r="E13" s="128">
        <v>5</v>
      </c>
      <c r="F13" s="128">
        <v>6</v>
      </c>
      <c r="G13" s="128">
        <v>7</v>
      </c>
      <c r="H13" s="128">
        <v>8</v>
      </c>
      <c r="I13" s="128">
        <v>9</v>
      </c>
      <c r="J13" s="128">
        <v>10</v>
      </c>
      <c r="K13" s="128">
        <v>11</v>
      </c>
      <c r="L13" s="128">
        <v>12</v>
      </c>
      <c r="M13" s="128">
        <v>13</v>
      </c>
      <c r="N13" s="106">
        <v>14</v>
      </c>
      <c r="O13" s="106">
        <v>15</v>
      </c>
      <c r="P13" s="106">
        <v>16</v>
      </c>
    </row>
    <row r="14" spans="1:16" ht="33.75" customHeight="1">
      <c r="A14" s="100">
        <v>1</v>
      </c>
      <c r="B14" s="106" t="s">
        <v>632</v>
      </c>
      <c r="C14" s="219">
        <v>271</v>
      </c>
      <c r="D14" s="219">
        <v>271</v>
      </c>
      <c r="E14" s="219">
        <v>270</v>
      </c>
      <c r="F14" s="219">
        <v>270</v>
      </c>
      <c r="G14" s="219">
        <v>270</v>
      </c>
      <c r="H14" s="219">
        <v>270</v>
      </c>
      <c r="I14" s="219">
        <v>270</v>
      </c>
      <c r="J14" s="219">
        <v>270</v>
      </c>
      <c r="K14" s="219">
        <v>270</v>
      </c>
      <c r="L14" s="219">
        <v>270</v>
      </c>
      <c r="M14" s="219">
        <v>270</v>
      </c>
      <c r="N14" s="219">
        <v>270</v>
      </c>
      <c r="O14" s="219">
        <v>270</v>
      </c>
      <c r="P14" s="219">
        <v>270</v>
      </c>
    </row>
    <row r="15" spans="1:16" ht="39" customHeight="1">
      <c r="A15" s="100">
        <v>2</v>
      </c>
      <c r="B15" s="106" t="s">
        <v>633</v>
      </c>
      <c r="C15" s="219">
        <v>243</v>
      </c>
      <c r="D15" s="219">
        <v>243</v>
      </c>
      <c r="E15" s="219">
        <v>243</v>
      </c>
      <c r="F15" s="219">
        <v>243</v>
      </c>
      <c r="G15" s="219">
        <v>243</v>
      </c>
      <c r="H15" s="219">
        <v>243</v>
      </c>
      <c r="I15" s="219">
        <v>243</v>
      </c>
      <c r="J15" s="219">
        <v>243</v>
      </c>
      <c r="K15" s="219">
        <v>243</v>
      </c>
      <c r="L15" s="219">
        <v>243</v>
      </c>
      <c r="M15" s="219">
        <v>243</v>
      </c>
      <c r="N15" s="219">
        <v>243</v>
      </c>
      <c r="O15" s="219">
        <v>243</v>
      </c>
      <c r="P15" s="219">
        <v>243</v>
      </c>
    </row>
    <row r="16" spans="1:16" ht="35.25" customHeight="1">
      <c r="A16" s="100">
        <v>3</v>
      </c>
      <c r="B16" s="106" t="s">
        <v>634</v>
      </c>
      <c r="C16" s="219">
        <v>95</v>
      </c>
      <c r="D16" s="219">
        <v>95</v>
      </c>
      <c r="E16" s="219">
        <v>95</v>
      </c>
      <c r="F16" s="219">
        <v>95</v>
      </c>
      <c r="G16" s="219">
        <v>95</v>
      </c>
      <c r="H16" s="219">
        <v>95</v>
      </c>
      <c r="I16" s="219">
        <v>95</v>
      </c>
      <c r="J16" s="219">
        <v>95</v>
      </c>
      <c r="K16" s="219">
        <v>95</v>
      </c>
      <c r="L16" s="219">
        <v>95</v>
      </c>
      <c r="M16" s="219">
        <v>95</v>
      </c>
      <c r="N16" s="219">
        <v>95</v>
      </c>
      <c r="O16" s="219">
        <v>95</v>
      </c>
      <c r="P16" s="219">
        <v>95</v>
      </c>
    </row>
    <row r="17" spans="1:16" s="2" customFormat="1" ht="39.75" customHeight="1">
      <c r="A17" s="100">
        <v>4</v>
      </c>
      <c r="B17" s="106" t="s">
        <v>635</v>
      </c>
      <c r="C17" s="219">
        <v>259</v>
      </c>
      <c r="D17" s="219">
        <v>259</v>
      </c>
      <c r="E17" s="219">
        <v>259</v>
      </c>
      <c r="F17" s="219">
        <v>259</v>
      </c>
      <c r="G17" s="219">
        <v>259</v>
      </c>
      <c r="H17" s="219">
        <v>259</v>
      </c>
      <c r="I17" s="219">
        <v>259</v>
      </c>
      <c r="J17" s="219">
        <v>259</v>
      </c>
      <c r="K17" s="219">
        <v>259</v>
      </c>
      <c r="L17" s="219">
        <v>259</v>
      </c>
      <c r="M17" s="219">
        <v>259</v>
      </c>
      <c r="N17" s="219">
        <v>259</v>
      </c>
      <c r="O17" s="219">
        <v>259</v>
      </c>
      <c r="P17" s="219">
        <v>259</v>
      </c>
    </row>
    <row r="18" spans="1:16" s="2" customFormat="1" ht="35.25" customHeight="1">
      <c r="A18" s="665" t="s">
        <v>19</v>
      </c>
      <c r="B18" s="666"/>
      <c r="C18" s="204">
        <f aca="true" t="shared" si="0" ref="C18:P18">SUM(C14:C17)</f>
        <v>868</v>
      </c>
      <c r="D18" s="204">
        <f t="shared" si="0"/>
        <v>868</v>
      </c>
      <c r="E18" s="204">
        <f t="shared" si="0"/>
        <v>867</v>
      </c>
      <c r="F18" s="204">
        <f t="shared" si="0"/>
        <v>867</v>
      </c>
      <c r="G18" s="204">
        <f t="shared" si="0"/>
        <v>867</v>
      </c>
      <c r="H18" s="204">
        <f t="shared" si="0"/>
        <v>867</v>
      </c>
      <c r="I18" s="204">
        <f t="shared" si="0"/>
        <v>867</v>
      </c>
      <c r="J18" s="204">
        <f t="shared" si="0"/>
        <v>867</v>
      </c>
      <c r="K18" s="204">
        <f t="shared" si="0"/>
        <v>867</v>
      </c>
      <c r="L18" s="204">
        <f t="shared" si="0"/>
        <v>867</v>
      </c>
      <c r="M18" s="204">
        <f t="shared" si="0"/>
        <v>867</v>
      </c>
      <c r="N18" s="204">
        <f t="shared" si="0"/>
        <v>867</v>
      </c>
      <c r="O18" s="204">
        <f t="shared" si="0"/>
        <v>867</v>
      </c>
      <c r="P18" s="204">
        <f t="shared" si="0"/>
        <v>867</v>
      </c>
    </row>
    <row r="19" spans="1:13" s="2" customFormat="1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2.75" customHeight="1"/>
    <row r="31" spans="8:15" ht="12.75" customHeight="1">
      <c r="H31" s="617" t="s">
        <v>13</v>
      </c>
      <c r="I31" s="617"/>
      <c r="J31" s="617"/>
      <c r="K31" s="617"/>
      <c r="L31" s="617"/>
      <c r="M31" s="617"/>
      <c r="N31" s="617"/>
      <c r="O31" s="617"/>
    </row>
    <row r="32" spans="8:15" ht="12.75" customHeight="1">
      <c r="H32" s="617" t="s">
        <v>14</v>
      </c>
      <c r="I32" s="617"/>
      <c r="J32" s="617"/>
      <c r="K32" s="617"/>
      <c r="L32" s="617"/>
      <c r="M32" s="617"/>
      <c r="N32" s="617"/>
      <c r="O32" s="617"/>
    </row>
    <row r="33" spans="8:15" ht="12.75" customHeight="1">
      <c r="H33" s="617" t="s">
        <v>89</v>
      </c>
      <c r="I33" s="617"/>
      <c r="J33" s="617"/>
      <c r="K33" s="617"/>
      <c r="L33" s="617"/>
      <c r="M33" s="617"/>
      <c r="N33" s="617"/>
      <c r="O33" s="617"/>
    </row>
    <row r="34" spans="1:14" ht="12.75">
      <c r="A34" s="13" t="s">
        <v>12</v>
      </c>
      <c r="H34" s="697" t="s">
        <v>86</v>
      </c>
      <c r="I34" s="697"/>
      <c r="J34" s="697"/>
      <c r="K34" s="697"/>
      <c r="L34" s="697"/>
      <c r="M34" s="697"/>
      <c r="N34" s="697"/>
    </row>
  </sheetData>
  <sheetProtection/>
  <mergeCells count="16">
    <mergeCell ref="H33:O33"/>
    <mergeCell ref="H34:N34"/>
    <mergeCell ref="H31:O31"/>
    <mergeCell ref="E11:P11"/>
    <mergeCell ref="A2:P2"/>
    <mergeCell ref="A3:P3"/>
    <mergeCell ref="A4:P4"/>
    <mergeCell ref="H32:O32"/>
    <mergeCell ref="H1:I1"/>
    <mergeCell ref="A6:M6"/>
    <mergeCell ref="A11:A12"/>
    <mergeCell ref="B11:B12"/>
    <mergeCell ref="A18:B18"/>
    <mergeCell ref="C11:C12"/>
    <mergeCell ref="D11:D12"/>
    <mergeCell ref="K10:P10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B8">
      <selection activeCell="E17" sqref="E17:P17"/>
    </sheetView>
  </sheetViews>
  <sheetFormatPr defaultColWidth="9.140625" defaultRowHeight="12.75"/>
  <cols>
    <col min="1" max="1" width="6.57421875" style="0" customWidth="1"/>
    <col min="3" max="3" width="10.8515625" style="0" customWidth="1"/>
    <col min="4" max="4" width="15.00390625" style="0" customWidth="1"/>
    <col min="5" max="5" width="8.57421875" style="0" customWidth="1"/>
    <col min="6" max="6" width="7.8515625" style="0" customWidth="1"/>
    <col min="7" max="8" width="8.421875" style="0" customWidth="1"/>
    <col min="9" max="9" width="8.28125" style="0" customWidth="1"/>
    <col min="10" max="10" width="9.140625" style="0" customWidth="1"/>
    <col min="11" max="11" width="7.8515625" style="0" customWidth="1"/>
    <col min="12" max="12" width="8.421875" style="0" customWidth="1"/>
    <col min="13" max="13" width="8.7109375" style="0" customWidth="1"/>
    <col min="14" max="14" width="8.00390625" style="0" customWidth="1"/>
    <col min="15" max="15" width="8.140625" style="0" customWidth="1"/>
    <col min="16" max="16" width="11.28125" style="0" customWidth="1"/>
  </cols>
  <sheetData>
    <row r="1" spans="1:16" ht="12.75">
      <c r="A1" s="13"/>
      <c r="B1" s="13"/>
      <c r="C1" s="13"/>
      <c r="D1" s="13"/>
      <c r="E1" s="585"/>
      <c r="F1" s="585"/>
      <c r="G1" s="13"/>
      <c r="H1" s="13"/>
      <c r="I1" s="730" t="s">
        <v>681</v>
      </c>
      <c r="J1" s="730"/>
      <c r="K1" s="730"/>
      <c r="L1" s="730"/>
      <c r="M1" s="730"/>
      <c r="N1" s="730"/>
      <c r="O1" s="730"/>
      <c r="P1" s="730"/>
    </row>
    <row r="2" spans="1:16" ht="12.75">
      <c r="A2" s="585" t="s">
        <v>523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ht="13.5">
      <c r="A3" s="551" t="s">
        <v>898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</row>
    <row r="4" spans="1:16" ht="13.5">
      <c r="A4" s="551" t="s">
        <v>899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0" ht="12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2" t="s">
        <v>820</v>
      </c>
      <c r="B6" s="344"/>
      <c r="C6" s="13"/>
      <c r="D6" s="13"/>
      <c r="E6" s="13"/>
      <c r="F6" s="13"/>
      <c r="G6" s="13"/>
      <c r="H6" s="13"/>
      <c r="I6" s="13"/>
      <c r="J6" s="13"/>
    </row>
    <row r="7" spans="1:10" ht="12.75">
      <c r="A7" s="563" t="s">
        <v>932</v>
      </c>
      <c r="B7" s="563"/>
      <c r="C7" s="563"/>
      <c r="D7" s="563"/>
      <c r="E7" s="563"/>
      <c r="F7" s="563"/>
      <c r="G7" s="13"/>
      <c r="H7" s="13"/>
      <c r="I7" s="13"/>
      <c r="J7" s="13"/>
    </row>
    <row r="8" spans="1:14" ht="12.75">
      <c r="A8" s="563" t="s">
        <v>933</v>
      </c>
      <c r="B8" s="563"/>
      <c r="C8" s="563"/>
      <c r="D8" s="563"/>
      <c r="E8" s="563"/>
      <c r="F8" s="563"/>
      <c r="G8" s="13"/>
      <c r="H8" s="351"/>
      <c r="I8" s="351"/>
      <c r="J8" s="351"/>
      <c r="N8" s="69" t="s">
        <v>843</v>
      </c>
    </row>
    <row r="9" spans="1:14" ht="14.25" customHeight="1">
      <c r="A9" s="387"/>
      <c r="B9" s="387"/>
      <c r="C9" s="387"/>
      <c r="D9" s="387"/>
      <c r="E9" s="388"/>
      <c r="F9" s="389"/>
      <c r="G9" s="13"/>
      <c r="H9" s="351"/>
      <c r="I9" s="351"/>
      <c r="J9" s="351"/>
      <c r="N9" s="69"/>
    </row>
    <row r="10" spans="1:16" ht="38.25" customHeight="1">
      <c r="A10" s="743" t="s">
        <v>2</v>
      </c>
      <c r="B10" s="743" t="s">
        <v>3</v>
      </c>
      <c r="C10" s="746" t="s">
        <v>297</v>
      </c>
      <c r="D10" s="746" t="s">
        <v>682</v>
      </c>
      <c r="E10" s="808" t="s">
        <v>825</v>
      </c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10"/>
    </row>
    <row r="11" spans="1:16" ht="32.25" customHeight="1">
      <c r="A11" s="807"/>
      <c r="B11" s="807"/>
      <c r="C11" s="747"/>
      <c r="D11" s="747"/>
      <c r="E11" s="204" t="s">
        <v>945</v>
      </c>
      <c r="F11" s="204" t="s">
        <v>750</v>
      </c>
      <c r="G11" s="204" t="s">
        <v>946</v>
      </c>
      <c r="H11" s="204" t="s">
        <v>947</v>
      </c>
      <c r="I11" s="204" t="s">
        <v>948</v>
      </c>
      <c r="J11" s="204" t="s">
        <v>949</v>
      </c>
      <c r="K11" s="204" t="s">
        <v>950</v>
      </c>
      <c r="L11" s="204" t="s">
        <v>951</v>
      </c>
      <c r="M11" s="204" t="s">
        <v>952</v>
      </c>
      <c r="N11" s="106" t="s">
        <v>953</v>
      </c>
      <c r="O11" s="106" t="s">
        <v>954</v>
      </c>
      <c r="P11" s="106" t="s">
        <v>938</v>
      </c>
    </row>
    <row r="12" spans="1:16" ht="24.75" customHeight="1">
      <c r="A12" s="128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>
        <v>10</v>
      </c>
      <c r="K12" s="128">
        <v>11</v>
      </c>
      <c r="L12" s="128">
        <v>12</v>
      </c>
      <c r="M12" s="128">
        <v>13</v>
      </c>
      <c r="N12" s="128">
        <v>14</v>
      </c>
      <c r="O12" s="128">
        <v>15</v>
      </c>
      <c r="P12" s="128">
        <v>16</v>
      </c>
    </row>
    <row r="13" spans="1:16" ht="20.25" customHeight="1">
      <c r="A13" s="15">
        <v>1</v>
      </c>
      <c r="B13" s="193" t="s">
        <v>632</v>
      </c>
      <c r="C13" s="520">
        <v>273</v>
      </c>
      <c r="D13" s="520">
        <v>273</v>
      </c>
      <c r="E13" s="520">
        <f>273*51/100</f>
        <v>139.23</v>
      </c>
      <c r="F13" s="520">
        <f>273*55/100</f>
        <v>150.15</v>
      </c>
      <c r="G13" s="520">
        <f>273*62/100</f>
        <v>169.26</v>
      </c>
      <c r="H13" s="520">
        <f>273*61/100</f>
        <v>166.53</v>
      </c>
      <c r="I13" s="520">
        <f>273*70/100</f>
        <v>191.1</v>
      </c>
      <c r="J13" s="520">
        <f>273*65/100</f>
        <v>177.45</v>
      </c>
      <c r="K13" s="520">
        <f>273*69/100</f>
        <v>188.37</v>
      </c>
      <c r="L13" s="520">
        <f>273*75/100</f>
        <v>204.75</v>
      </c>
      <c r="M13" s="520">
        <f>273*85/100</f>
        <v>232.05</v>
      </c>
      <c r="N13" s="520">
        <f>273*80/100</f>
        <v>218.4</v>
      </c>
      <c r="O13" s="520">
        <f>273*60/100</f>
        <v>163.8</v>
      </c>
      <c r="P13" s="520">
        <f>273*78/100</f>
        <v>212.94</v>
      </c>
    </row>
    <row r="14" spans="1:16" ht="19.5" customHeight="1">
      <c r="A14" s="15">
        <v>2</v>
      </c>
      <c r="B14" s="193" t="s">
        <v>633</v>
      </c>
      <c r="C14" s="520">
        <v>242</v>
      </c>
      <c r="D14" s="520">
        <v>242</v>
      </c>
      <c r="E14" s="520">
        <f>242*60/100</f>
        <v>145.2</v>
      </c>
      <c r="F14" s="520">
        <f>242*60/100</f>
        <v>145.2</v>
      </c>
      <c r="G14" s="520">
        <f>242*92/100</f>
        <v>222.64</v>
      </c>
      <c r="H14" s="520">
        <f>242*92/100</f>
        <v>222.64</v>
      </c>
      <c r="I14" s="520">
        <f>242*69/100</f>
        <v>166.98</v>
      </c>
      <c r="J14" s="520">
        <f>242*68/100</f>
        <v>164.56</v>
      </c>
      <c r="K14" s="520">
        <f>242*78/100</f>
        <v>188.76</v>
      </c>
      <c r="L14" s="520">
        <f>242*75/100</f>
        <v>181.5</v>
      </c>
      <c r="M14" s="520">
        <f>242*86/100</f>
        <v>208.12</v>
      </c>
      <c r="N14" s="520">
        <f>242*82/100</f>
        <v>198.44</v>
      </c>
      <c r="O14" s="520">
        <f>242*89/100</f>
        <v>215.38</v>
      </c>
      <c r="P14" s="520">
        <f>242*85/100</f>
        <v>205.7</v>
      </c>
    </row>
    <row r="15" spans="1:16" ht="21.75" customHeight="1">
      <c r="A15" s="15">
        <v>3</v>
      </c>
      <c r="B15" s="193" t="s">
        <v>634</v>
      </c>
      <c r="C15" s="520">
        <v>95</v>
      </c>
      <c r="D15" s="520">
        <v>95</v>
      </c>
      <c r="E15" s="520">
        <f>95*90/100</f>
        <v>85.5</v>
      </c>
      <c r="F15" s="520">
        <f>95*90/100</f>
        <v>85.5</v>
      </c>
      <c r="G15" s="520">
        <f>95*95/100</f>
        <v>90.25</v>
      </c>
      <c r="H15" s="520">
        <f>95*96/100</f>
        <v>91.2</v>
      </c>
      <c r="I15" s="520">
        <f>95*89/100</f>
        <v>84.55</v>
      </c>
      <c r="J15" s="520">
        <f>95*85/100</f>
        <v>80.75</v>
      </c>
      <c r="K15" s="520">
        <f>95*94/100</f>
        <v>89.3</v>
      </c>
      <c r="L15" s="520">
        <f>95*92/100</f>
        <v>87.4</v>
      </c>
      <c r="M15" s="520">
        <f>95*92/100</f>
        <v>87.4</v>
      </c>
      <c r="N15" s="520">
        <f>95*92/100</f>
        <v>87.4</v>
      </c>
      <c r="O15" s="520">
        <f>95*90/100</f>
        <v>85.5</v>
      </c>
      <c r="P15" s="520">
        <f>95*95/100</f>
        <v>90.25</v>
      </c>
    </row>
    <row r="16" spans="1:16" ht="29.25" customHeight="1">
      <c r="A16" s="15">
        <v>4</v>
      </c>
      <c r="B16" s="193" t="s">
        <v>635</v>
      </c>
      <c r="C16" s="520">
        <v>258</v>
      </c>
      <c r="D16" s="520">
        <v>258</v>
      </c>
      <c r="E16" s="520">
        <f>258*44/100</f>
        <v>113.52</v>
      </c>
      <c r="F16" s="520">
        <f>258*42/100</f>
        <v>108.36</v>
      </c>
      <c r="G16" s="520">
        <f>258*55/100</f>
        <v>141.9</v>
      </c>
      <c r="H16" s="520">
        <f>258*54/100</f>
        <v>139.32</v>
      </c>
      <c r="I16" s="520">
        <f>258*52/100</f>
        <v>134.16</v>
      </c>
      <c r="J16" s="520">
        <f>258*54/100</f>
        <v>139.32</v>
      </c>
      <c r="K16" s="520">
        <f>258*54/100</f>
        <v>139.32</v>
      </c>
      <c r="L16" s="520">
        <f>258*32/100</f>
        <v>82.56</v>
      </c>
      <c r="M16" s="520">
        <f>258*35/100</f>
        <v>90.3</v>
      </c>
      <c r="N16" s="520">
        <f>258*41/100</f>
        <v>105.78</v>
      </c>
      <c r="O16" s="520">
        <f>258*52/100</f>
        <v>134.16</v>
      </c>
      <c r="P16" s="520">
        <f>258*42/100</f>
        <v>108.36</v>
      </c>
    </row>
    <row r="17" spans="1:16" ht="29.25" customHeight="1">
      <c r="A17" s="15"/>
      <c r="B17" s="193" t="s">
        <v>625</v>
      </c>
      <c r="C17" s="521">
        <f aca="true" t="shared" si="0" ref="C17:P17">SUM(C13:C16)</f>
        <v>868</v>
      </c>
      <c r="D17" s="521">
        <f t="shared" si="0"/>
        <v>868</v>
      </c>
      <c r="E17" s="522">
        <f t="shared" si="0"/>
        <v>483.44999999999993</v>
      </c>
      <c r="F17" s="522">
        <f t="shared" si="0"/>
        <v>489.21000000000004</v>
      </c>
      <c r="G17" s="522">
        <f t="shared" si="0"/>
        <v>624.05</v>
      </c>
      <c r="H17" s="522">
        <f t="shared" si="0"/>
        <v>619.6899999999999</v>
      </c>
      <c r="I17" s="522">
        <f t="shared" si="0"/>
        <v>576.79</v>
      </c>
      <c r="J17" s="522">
        <f t="shared" si="0"/>
        <v>562.0799999999999</v>
      </c>
      <c r="K17" s="522">
        <f t="shared" si="0"/>
        <v>605.75</v>
      </c>
      <c r="L17" s="522">
        <f t="shared" si="0"/>
        <v>556.21</v>
      </c>
      <c r="M17" s="522">
        <f t="shared" si="0"/>
        <v>617.87</v>
      </c>
      <c r="N17" s="522">
        <f t="shared" si="0"/>
        <v>610.02</v>
      </c>
      <c r="O17" s="522">
        <f t="shared" si="0"/>
        <v>598.84</v>
      </c>
      <c r="P17" s="522">
        <f t="shared" si="0"/>
        <v>617.25</v>
      </c>
    </row>
    <row r="18" spans="1:4" ht="29.25" customHeight="1">
      <c r="A18" s="83"/>
      <c r="B18" s="249"/>
      <c r="C18" s="354"/>
      <c r="D18" s="278"/>
    </row>
    <row r="19" spans="1:13" ht="12.75">
      <c r="A19" s="83"/>
      <c r="B19" s="249"/>
      <c r="C19" s="354"/>
      <c r="D19" s="278"/>
      <c r="E19" s="439"/>
      <c r="H19" s="278"/>
      <c r="I19" s="278"/>
      <c r="J19" s="278"/>
      <c r="K19" s="278"/>
      <c r="L19" s="278"/>
      <c r="M19" s="278"/>
    </row>
    <row r="20" spans="1:13" ht="12.75">
      <c r="A20" s="83"/>
      <c r="B20" s="249"/>
      <c r="C20" s="354"/>
      <c r="D20" s="278"/>
      <c r="H20" s="278"/>
      <c r="I20" s="278"/>
      <c r="J20" s="278"/>
      <c r="K20" s="278"/>
      <c r="L20" s="278"/>
      <c r="M20" s="278"/>
    </row>
    <row r="21" spans="1:13" ht="12.75" customHeight="1">
      <c r="A21" s="83"/>
      <c r="B21" s="249"/>
      <c r="C21" s="354"/>
      <c r="D21" s="278"/>
      <c r="H21" s="278"/>
      <c r="I21" s="278"/>
      <c r="J21" s="278"/>
      <c r="K21" s="278"/>
      <c r="L21" s="278"/>
      <c r="M21" s="278"/>
    </row>
    <row r="22" spans="1:10" ht="12.75" customHeight="1">
      <c r="A22" s="83"/>
      <c r="B22" s="254"/>
      <c r="C22" s="64"/>
      <c r="D22" s="64"/>
      <c r="E22" s="64"/>
      <c r="F22" s="64"/>
      <c r="G22" s="2"/>
      <c r="H22" s="2"/>
      <c r="I22" s="2"/>
      <c r="J22" s="2"/>
    </row>
    <row r="23" spans="1:10" ht="12.75" customHeight="1">
      <c r="A23" s="83"/>
      <c r="B23" s="254"/>
      <c r="C23" s="64"/>
      <c r="D23" s="64"/>
      <c r="E23" s="64"/>
      <c r="F23" s="64"/>
      <c r="G23" s="2"/>
      <c r="H23" s="2"/>
      <c r="I23" s="2"/>
      <c r="J23" s="2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6" ht="12.75">
      <c r="A26" s="13"/>
      <c r="B26" s="13"/>
      <c r="C26" s="13"/>
      <c r="D26" s="13"/>
      <c r="E26" s="64"/>
      <c r="F26" s="64"/>
      <c r="G26" s="64"/>
      <c r="H26" s="64"/>
      <c r="I26" s="64"/>
      <c r="J26" s="64"/>
      <c r="O26" s="602" t="s">
        <v>13</v>
      </c>
      <c r="P26" s="602"/>
    </row>
    <row r="27" spans="1:16" ht="12.75">
      <c r="A27" s="13"/>
      <c r="B27" s="13"/>
      <c r="C27" s="13"/>
      <c r="D27" s="13"/>
      <c r="E27" s="64"/>
      <c r="F27" s="64"/>
      <c r="G27" s="64"/>
      <c r="H27" s="64"/>
      <c r="I27" s="64"/>
      <c r="J27" s="64"/>
      <c r="N27" s="602" t="s">
        <v>14</v>
      </c>
      <c r="O27" s="602"/>
      <c r="P27" s="602"/>
    </row>
    <row r="28" spans="1:16" ht="12.75">
      <c r="A28" s="13"/>
      <c r="B28" s="13"/>
      <c r="C28" s="13"/>
      <c r="D28" s="13"/>
      <c r="E28" s="64"/>
      <c r="F28" s="64"/>
      <c r="G28" s="64"/>
      <c r="H28" s="64"/>
      <c r="I28" s="64"/>
      <c r="J28" s="64"/>
      <c r="L28" s="602" t="s">
        <v>89</v>
      </c>
      <c r="M28" s="602"/>
      <c r="N28" s="602"/>
      <c r="O28" s="602"/>
      <c r="P28" s="602"/>
    </row>
    <row r="29" spans="1:14" ht="12.75">
      <c r="A29" s="13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N29" s="13" t="s">
        <v>86</v>
      </c>
    </row>
  </sheetData>
  <sheetProtection/>
  <mergeCells count="15">
    <mergeCell ref="E10:P10"/>
    <mergeCell ref="A7:F7"/>
    <mergeCell ref="A8:F8"/>
    <mergeCell ref="O26:P26"/>
    <mergeCell ref="N27:P27"/>
    <mergeCell ref="L28:P28"/>
    <mergeCell ref="E1:F1"/>
    <mergeCell ref="A10:A11"/>
    <mergeCell ref="A2:P2"/>
    <mergeCell ref="A3:P3"/>
    <mergeCell ref="B10:B11"/>
    <mergeCell ref="C10:C11"/>
    <mergeCell ref="D10:D11"/>
    <mergeCell ref="I1:P1"/>
    <mergeCell ref="A4:P4"/>
  </mergeCells>
  <printOptions horizontalCentered="1" verticalCentered="1"/>
  <pageMargins left="0.708661417322835" right="0.708661417322835" top="0.9448818897637801" bottom="0.748031496062992" header="0.31496062992126" footer="0.3149606299212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80" zoomScaleSheetLayoutView="80" zoomScalePageLayoutView="0" workbookViewId="0" topLeftCell="A8">
      <selection activeCell="A16" sqref="A16"/>
    </sheetView>
  </sheetViews>
  <sheetFormatPr defaultColWidth="9.140625" defaultRowHeight="12.75"/>
  <cols>
    <col min="1" max="1" width="7.28125" style="440" customWidth="1"/>
    <col min="2" max="2" width="21.421875" style="440" customWidth="1"/>
    <col min="3" max="3" width="9.8515625" style="440" customWidth="1"/>
    <col min="4" max="4" width="8.28125" style="440" customWidth="1"/>
    <col min="5" max="5" width="9.7109375" style="440" customWidth="1"/>
    <col min="6" max="6" width="13.140625" style="440" customWidth="1"/>
    <col min="7" max="7" width="10.7109375" style="440" customWidth="1"/>
    <col min="8" max="8" width="9.57421875" style="440" customWidth="1"/>
    <col min="9" max="10" width="8.8515625" style="440" customWidth="1"/>
    <col min="11" max="11" width="9.140625" style="440" customWidth="1"/>
    <col min="12" max="12" width="5.7109375" style="440" customWidth="1"/>
    <col min="13" max="13" width="5.140625" style="440" customWidth="1"/>
    <col min="14" max="14" width="4.8515625" style="440" customWidth="1"/>
    <col min="15" max="15" width="9.140625" style="440" customWidth="1"/>
    <col min="16" max="16" width="7.00390625" style="440" customWidth="1"/>
    <col min="17" max="18" width="6.8515625" style="440" customWidth="1"/>
    <col min="19" max="19" width="5.57421875" style="440" customWidth="1"/>
    <col min="20" max="20" width="11.140625" style="440" customWidth="1"/>
    <col min="21" max="21" width="10.8515625" style="440" customWidth="1"/>
    <col min="22" max="22" width="8.8515625" style="440" customWidth="1"/>
    <col min="23" max="23" width="13.140625" style="440" customWidth="1"/>
    <col min="24" max="16384" width="9.140625" style="440" customWidth="1"/>
  </cols>
  <sheetData>
    <row r="1" ht="15">
      <c r="V1" s="441" t="s">
        <v>703</v>
      </c>
    </row>
    <row r="2" spans="1:22" ht="15">
      <c r="A2" s="639" t="s">
        <v>0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</row>
    <row r="3" spans="1:24" ht="19.5">
      <c r="A3" s="640" t="s">
        <v>841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442"/>
      <c r="W3" s="442"/>
      <c r="X3" s="442"/>
    </row>
    <row r="4" spans="3:22" ht="18"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</row>
    <row r="5" spans="2:22" ht="15">
      <c r="B5" s="641" t="s">
        <v>862</v>
      </c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444"/>
      <c r="U5" s="644" t="s">
        <v>277</v>
      </c>
      <c r="V5" s="645"/>
    </row>
    <row r="6" spans="11:18" ht="15">
      <c r="K6" s="445"/>
      <c r="L6" s="445"/>
      <c r="M6" s="445"/>
      <c r="N6" s="445"/>
      <c r="O6" s="445"/>
      <c r="P6" s="445"/>
      <c r="Q6" s="445"/>
      <c r="R6" s="445"/>
    </row>
    <row r="7" spans="1:22" ht="12.75">
      <c r="A7" s="620" t="s">
        <v>643</v>
      </c>
      <c r="B7" s="620"/>
      <c r="O7" s="642" t="s">
        <v>863</v>
      </c>
      <c r="P7" s="642"/>
      <c r="Q7" s="642"/>
      <c r="R7" s="642"/>
      <c r="S7" s="642"/>
      <c r="T7" s="642"/>
      <c r="U7" s="642"/>
      <c r="V7" s="642"/>
    </row>
    <row r="8" spans="1:23" ht="36" customHeight="1">
      <c r="A8" s="623" t="s">
        <v>2</v>
      </c>
      <c r="B8" s="623" t="s">
        <v>163</v>
      </c>
      <c r="C8" s="643" t="s">
        <v>164</v>
      </c>
      <c r="D8" s="643"/>
      <c r="E8" s="643"/>
      <c r="F8" s="447"/>
      <c r="G8" s="643" t="s">
        <v>165</v>
      </c>
      <c r="H8" s="623" t="s">
        <v>197</v>
      </c>
      <c r="I8" s="623"/>
      <c r="J8" s="623"/>
      <c r="K8" s="623"/>
      <c r="L8" s="623"/>
      <c r="M8" s="623"/>
      <c r="N8" s="623"/>
      <c r="O8" s="623"/>
      <c r="P8" s="623" t="s">
        <v>198</v>
      </c>
      <c r="Q8" s="623"/>
      <c r="R8" s="623"/>
      <c r="S8" s="623"/>
      <c r="T8" s="623"/>
      <c r="U8" s="623"/>
      <c r="V8" s="623"/>
      <c r="W8" s="623"/>
    </row>
    <row r="9" spans="1:23" ht="13.5">
      <c r="A9" s="623"/>
      <c r="B9" s="623"/>
      <c r="C9" s="643" t="s">
        <v>278</v>
      </c>
      <c r="D9" s="643" t="s">
        <v>45</v>
      </c>
      <c r="E9" s="643" t="s">
        <v>46</v>
      </c>
      <c r="F9" s="447"/>
      <c r="G9" s="643"/>
      <c r="H9" s="623" t="s">
        <v>199</v>
      </c>
      <c r="I9" s="623"/>
      <c r="J9" s="623"/>
      <c r="K9" s="623"/>
      <c r="L9" s="623" t="s">
        <v>183</v>
      </c>
      <c r="M9" s="623"/>
      <c r="N9" s="623"/>
      <c r="O9" s="623"/>
      <c r="P9" s="623" t="s">
        <v>166</v>
      </c>
      <c r="Q9" s="623"/>
      <c r="R9" s="623"/>
      <c r="S9" s="623"/>
      <c r="T9" s="623" t="s">
        <v>182</v>
      </c>
      <c r="U9" s="623"/>
      <c r="V9" s="623"/>
      <c r="W9" s="623"/>
    </row>
    <row r="10" spans="1:23" ht="13.5">
      <c r="A10" s="623"/>
      <c r="B10" s="623"/>
      <c r="C10" s="643"/>
      <c r="D10" s="643"/>
      <c r="E10" s="643"/>
      <c r="F10" s="447"/>
      <c r="G10" s="643"/>
      <c r="H10" s="624" t="s">
        <v>167</v>
      </c>
      <c r="I10" s="625"/>
      <c r="J10" s="626"/>
      <c r="K10" s="630" t="s">
        <v>168</v>
      </c>
      <c r="L10" s="633" t="s">
        <v>167</v>
      </c>
      <c r="M10" s="634"/>
      <c r="N10" s="635"/>
      <c r="O10" s="630" t="s">
        <v>168</v>
      </c>
      <c r="P10" s="633" t="s">
        <v>167</v>
      </c>
      <c r="Q10" s="634"/>
      <c r="R10" s="635"/>
      <c r="S10" s="630" t="s">
        <v>168</v>
      </c>
      <c r="T10" s="633" t="s">
        <v>167</v>
      </c>
      <c r="U10" s="634"/>
      <c r="V10" s="635"/>
      <c r="W10" s="630" t="s">
        <v>168</v>
      </c>
    </row>
    <row r="11" spans="1:23" ht="15" customHeight="1">
      <c r="A11" s="623"/>
      <c r="B11" s="623"/>
      <c r="C11" s="643"/>
      <c r="D11" s="643"/>
      <c r="E11" s="643"/>
      <c r="F11" s="447"/>
      <c r="G11" s="643"/>
      <c r="H11" s="627"/>
      <c r="I11" s="628"/>
      <c r="J11" s="629"/>
      <c r="K11" s="631"/>
      <c r="L11" s="636"/>
      <c r="M11" s="637"/>
      <c r="N11" s="638"/>
      <c r="O11" s="631"/>
      <c r="P11" s="636"/>
      <c r="Q11" s="637"/>
      <c r="R11" s="638"/>
      <c r="S11" s="631"/>
      <c r="T11" s="636"/>
      <c r="U11" s="637"/>
      <c r="V11" s="638"/>
      <c r="W11" s="631"/>
    </row>
    <row r="12" spans="1:23" ht="13.5">
      <c r="A12" s="623"/>
      <c r="B12" s="623"/>
      <c r="C12" s="643"/>
      <c r="D12" s="643"/>
      <c r="E12" s="643"/>
      <c r="F12" s="447"/>
      <c r="G12" s="643"/>
      <c r="H12" s="447" t="s">
        <v>278</v>
      </c>
      <c r="I12" s="447" t="s">
        <v>45</v>
      </c>
      <c r="J12" s="448" t="s">
        <v>46</v>
      </c>
      <c r="K12" s="632"/>
      <c r="L12" s="446" t="s">
        <v>278</v>
      </c>
      <c r="M12" s="446" t="s">
        <v>45</v>
      </c>
      <c r="N12" s="446" t="s">
        <v>46</v>
      </c>
      <c r="O12" s="632"/>
      <c r="P12" s="446" t="s">
        <v>278</v>
      </c>
      <c r="Q12" s="446" t="s">
        <v>45</v>
      </c>
      <c r="R12" s="446" t="s">
        <v>46</v>
      </c>
      <c r="S12" s="632"/>
      <c r="T12" s="446" t="s">
        <v>278</v>
      </c>
      <c r="U12" s="446" t="s">
        <v>45</v>
      </c>
      <c r="V12" s="446" t="s">
        <v>46</v>
      </c>
      <c r="W12" s="632"/>
    </row>
    <row r="13" spans="1:23" ht="13.5">
      <c r="A13" s="446">
        <v>1</v>
      </c>
      <c r="B13" s="446">
        <v>2</v>
      </c>
      <c r="C13" s="446">
        <v>3</v>
      </c>
      <c r="D13" s="446">
        <v>4</v>
      </c>
      <c r="E13" s="446">
        <v>5</v>
      </c>
      <c r="F13" s="446"/>
      <c r="G13" s="446">
        <v>6</v>
      </c>
      <c r="H13" s="446">
        <v>7</v>
      </c>
      <c r="I13" s="446">
        <v>8</v>
      </c>
      <c r="J13" s="446">
        <v>9</v>
      </c>
      <c r="K13" s="446">
        <v>10</v>
      </c>
      <c r="L13" s="446">
        <v>11</v>
      </c>
      <c r="M13" s="446">
        <v>12</v>
      </c>
      <c r="N13" s="446">
        <v>13</v>
      </c>
      <c r="O13" s="446">
        <v>14</v>
      </c>
      <c r="P13" s="446">
        <v>15</v>
      </c>
      <c r="Q13" s="446">
        <v>16</v>
      </c>
      <c r="R13" s="446">
        <v>17</v>
      </c>
      <c r="S13" s="446">
        <v>18</v>
      </c>
      <c r="T13" s="446">
        <v>19</v>
      </c>
      <c r="U13" s="446">
        <v>20</v>
      </c>
      <c r="V13" s="446">
        <v>21</v>
      </c>
      <c r="W13" s="446">
        <v>22</v>
      </c>
    </row>
    <row r="14" spans="1:23" ht="32.25" customHeight="1">
      <c r="A14" s="646" t="s">
        <v>233</v>
      </c>
      <c r="B14" s="647"/>
      <c r="C14" s="446">
        <v>56</v>
      </c>
      <c r="D14" s="446">
        <v>8</v>
      </c>
      <c r="E14" s="446">
        <v>36</v>
      </c>
      <c r="F14" s="446">
        <f>F15*100/231.34</f>
        <v>92.65150860205758</v>
      </c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>
        <v>58</v>
      </c>
      <c r="U14" s="446">
        <v>9</v>
      </c>
      <c r="V14" s="446">
        <v>33</v>
      </c>
      <c r="W14" s="446"/>
    </row>
    <row r="15" spans="1:23" ht="41.25" customHeight="1">
      <c r="A15" s="446">
        <v>1</v>
      </c>
      <c r="B15" s="449" t="s">
        <v>232</v>
      </c>
      <c r="C15" s="450">
        <f>F15*56/100</f>
        <v>120.03040000000001</v>
      </c>
      <c r="D15" s="450">
        <f>F15*8/100</f>
        <v>17.1472</v>
      </c>
      <c r="E15" s="450">
        <f>F15*34/100</f>
        <v>72.8756</v>
      </c>
      <c r="F15" s="451">
        <v>214.34</v>
      </c>
      <c r="G15" s="452" t="s">
        <v>937</v>
      </c>
      <c r="H15" s="450">
        <f>K15*56/100</f>
        <v>45.9592</v>
      </c>
      <c r="I15" s="450">
        <f>K15*8/100</f>
        <v>6.5656</v>
      </c>
      <c r="J15" s="450">
        <f>K15*36/100</f>
        <v>29.545199999999994</v>
      </c>
      <c r="K15" s="621">
        <v>82.07</v>
      </c>
      <c r="L15" s="453"/>
      <c r="M15" s="453"/>
      <c r="N15" s="453"/>
      <c r="O15" s="453"/>
      <c r="P15" s="453"/>
      <c r="Q15" s="453"/>
      <c r="R15" s="453"/>
      <c r="S15" s="453"/>
      <c r="T15" s="621">
        <f>W16*56/100</f>
        <v>325.2088</v>
      </c>
      <c r="U15" s="621">
        <f>W16*8/100</f>
        <v>46.458400000000005</v>
      </c>
      <c r="V15" s="621">
        <f>W16*36/100</f>
        <v>209.06279999999998</v>
      </c>
      <c r="W15" s="454" t="s">
        <v>939</v>
      </c>
    </row>
    <row r="16" spans="1:23" ht="36" customHeight="1">
      <c r="A16" s="446">
        <v>2</v>
      </c>
      <c r="B16" s="449" t="s">
        <v>169</v>
      </c>
      <c r="C16" s="450">
        <f>F16*56/100</f>
        <v>134.23760000000001</v>
      </c>
      <c r="D16" s="450">
        <f>F16*8/100</f>
        <v>19.1768</v>
      </c>
      <c r="E16" s="450">
        <f>F16*34/100</f>
        <v>81.5014</v>
      </c>
      <c r="F16" s="451">
        <v>239.71</v>
      </c>
      <c r="G16" s="452"/>
      <c r="H16" s="450"/>
      <c r="I16" s="450"/>
      <c r="J16" s="450"/>
      <c r="K16" s="622"/>
      <c r="L16" s="453"/>
      <c r="M16" s="453"/>
      <c r="N16" s="453"/>
      <c r="O16" s="453"/>
      <c r="P16" s="453"/>
      <c r="Q16" s="453"/>
      <c r="R16" s="453"/>
      <c r="S16" s="453"/>
      <c r="T16" s="622"/>
      <c r="U16" s="622"/>
      <c r="V16" s="622"/>
      <c r="W16" s="455">
        <v>580.73</v>
      </c>
    </row>
    <row r="17" spans="1:23" ht="27" customHeight="1">
      <c r="A17" s="446">
        <v>3</v>
      </c>
      <c r="B17" s="449" t="s">
        <v>170</v>
      </c>
      <c r="C17" s="450">
        <f>F17*56/100</f>
        <v>209.27759999999998</v>
      </c>
      <c r="D17" s="450">
        <f>F17*8/100</f>
        <v>29.8968</v>
      </c>
      <c r="E17" s="450">
        <f>F17*36/100</f>
        <v>134.5356</v>
      </c>
      <c r="F17" s="456">
        <v>373.71</v>
      </c>
      <c r="G17" s="452" t="s">
        <v>938</v>
      </c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>
        <f>W17*56/100</f>
        <v>187.74</v>
      </c>
      <c r="U17" s="453">
        <f>W17*8/100</f>
        <v>26.82</v>
      </c>
      <c r="V17" s="453">
        <f>W17*36/100</f>
        <v>120.69</v>
      </c>
      <c r="W17" s="453">
        <v>335.25</v>
      </c>
    </row>
    <row r="18" spans="1:23" ht="29.25" customHeight="1">
      <c r="A18" s="646" t="s">
        <v>234</v>
      </c>
      <c r="B18" s="647"/>
      <c r="C18" s="457"/>
      <c r="D18" s="457"/>
      <c r="E18" s="457"/>
      <c r="F18" s="450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 t="s">
        <v>938</v>
      </c>
    </row>
    <row r="19" spans="1:23" ht="36.75" customHeight="1">
      <c r="A19" s="446">
        <v>4</v>
      </c>
      <c r="B19" s="449" t="s">
        <v>222</v>
      </c>
      <c r="C19" s="453">
        <f>F19*56/100</f>
        <v>14.778400000000001</v>
      </c>
      <c r="D19" s="453">
        <f>F19*8/100</f>
        <v>2.1112</v>
      </c>
      <c r="E19" s="453">
        <f>F19*36/100</f>
        <v>9.500399999999999</v>
      </c>
      <c r="F19" s="453">
        <v>26.39</v>
      </c>
      <c r="G19" s="453" t="s">
        <v>937</v>
      </c>
      <c r="H19" s="453">
        <f>K19*56/100</f>
        <v>1.6408</v>
      </c>
      <c r="I19" s="453">
        <f>K19*8/100</f>
        <v>0.23440000000000003</v>
      </c>
      <c r="J19" s="453">
        <f>K19*36/100</f>
        <v>1.0548</v>
      </c>
      <c r="K19" s="453">
        <v>2.93</v>
      </c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</row>
    <row r="20" spans="1:23" ht="36.75" customHeight="1">
      <c r="A20" s="446">
        <v>5</v>
      </c>
      <c r="B20" s="449" t="s">
        <v>142</v>
      </c>
      <c r="C20" s="453">
        <f>F20*56/100</f>
        <v>15.12</v>
      </c>
      <c r="D20" s="453">
        <f>F20*8/100</f>
        <v>2.16</v>
      </c>
      <c r="E20" s="453">
        <f>F20*36/100</f>
        <v>9.72</v>
      </c>
      <c r="F20" s="453">
        <v>27</v>
      </c>
      <c r="G20" s="453" t="s">
        <v>760</v>
      </c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</row>
    <row r="23" spans="1:22" ht="13.5">
      <c r="A23" s="648" t="s">
        <v>184</v>
      </c>
      <c r="B23" s="648"/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</row>
    <row r="24" spans="1:22" ht="13.5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</row>
    <row r="25" spans="1:22" ht="13.5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</row>
    <row r="26" spans="1:22" ht="13.5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</row>
    <row r="27" spans="1:22" ht="13.5">
      <c r="A27" s="458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</row>
    <row r="28" spans="1:22" ht="13.5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</row>
    <row r="29" spans="1:22" ht="13.5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</row>
    <row r="30" spans="1:22" ht="13.5">
      <c r="A30" s="458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</row>
    <row r="31" spans="1:22" ht="13.5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</row>
    <row r="32" spans="1:22" ht="13.5">
      <c r="A32" s="458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</row>
    <row r="33" spans="1:22" ht="13.5">
      <c r="A33" s="45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</row>
    <row r="34" spans="1:22" ht="13.5">
      <c r="A34" s="458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</row>
    <row r="35" spans="1:22" ht="13.5">
      <c r="A35" s="458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</row>
    <row r="37" spans="1:22" ht="15">
      <c r="A37" s="459" t="s">
        <v>12</v>
      </c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649" t="s">
        <v>13</v>
      </c>
      <c r="O37" s="649"/>
      <c r="P37" s="649"/>
      <c r="Q37" s="649"/>
      <c r="R37" s="649"/>
      <c r="S37" s="649"/>
      <c r="T37" s="649"/>
      <c r="U37" s="649"/>
      <c r="V37" s="649"/>
    </row>
    <row r="38" spans="1:22" ht="15">
      <c r="A38" s="649" t="s">
        <v>14</v>
      </c>
      <c r="B38" s="649"/>
      <c r="C38" s="649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</row>
    <row r="39" spans="1:22" ht="15">
      <c r="A39" s="649" t="s">
        <v>15</v>
      </c>
      <c r="B39" s="649"/>
      <c r="C39" s="649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649"/>
      <c r="V39" s="649"/>
    </row>
    <row r="40" spans="22:24" ht="12.75">
      <c r="V40" s="620" t="s">
        <v>86</v>
      </c>
      <c r="W40" s="620"/>
      <c r="X40" s="620"/>
    </row>
  </sheetData>
  <sheetProtection/>
  <mergeCells count="38">
    <mergeCell ref="K10:K12"/>
    <mergeCell ref="B8:B12"/>
    <mergeCell ref="C8:E8"/>
    <mergeCell ref="G8:G12"/>
    <mergeCell ref="H8:O8"/>
    <mergeCell ref="P8:W8"/>
    <mergeCell ref="C9:C12"/>
    <mergeCell ref="T10:V11"/>
    <mergeCell ref="H9:K9"/>
    <mergeCell ref="V40:X40"/>
    <mergeCell ref="A14:B14"/>
    <mergeCell ref="A18:B18"/>
    <mergeCell ref="A23:V23"/>
    <mergeCell ref="N37:V37"/>
    <mergeCell ref="A38:V38"/>
    <mergeCell ref="A39:V39"/>
    <mergeCell ref="T15:T16"/>
    <mergeCell ref="K15:K16"/>
    <mergeCell ref="A2:V2"/>
    <mergeCell ref="A3:U3"/>
    <mergeCell ref="L9:O9"/>
    <mergeCell ref="P9:S9"/>
    <mergeCell ref="T9:W9"/>
    <mergeCell ref="B5:S5"/>
    <mergeCell ref="O7:V7"/>
    <mergeCell ref="D9:D12"/>
    <mergeCell ref="E9:E12"/>
    <mergeCell ref="U5:V5"/>
    <mergeCell ref="A7:B7"/>
    <mergeCell ref="U15:U16"/>
    <mergeCell ref="V15:V16"/>
    <mergeCell ref="A8:A12"/>
    <mergeCell ref="H10:J11"/>
    <mergeCell ref="W10:W12"/>
    <mergeCell ref="L10:N11"/>
    <mergeCell ref="O10:O12"/>
    <mergeCell ref="S10:S12"/>
    <mergeCell ref="P10:R11"/>
  </mergeCells>
  <printOptions horizontalCentered="1"/>
  <pageMargins left="0.708661417322835" right="0.708661417322835" top="1.22047244094488" bottom="0.19687500000000002" header="0.31496062992126" footer="0.31496062992126"/>
  <pageSetup horizontalDpi="600" verticalDpi="600" orientation="landscape" paperSize="9" scale="5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">
      <selection activeCell="H5" sqref="H5:M5"/>
    </sheetView>
  </sheetViews>
  <sheetFormatPr defaultColWidth="9.140625" defaultRowHeight="12.75"/>
  <cols>
    <col min="13" max="13" width="11.7109375" style="0" customWidth="1"/>
  </cols>
  <sheetData>
    <row r="1" spans="3:13" ht="15">
      <c r="C1" s="650" t="s">
        <v>0</v>
      </c>
      <c r="D1" s="650"/>
      <c r="E1" s="650"/>
      <c r="F1" s="650"/>
      <c r="G1" s="650"/>
      <c r="H1" s="650"/>
      <c r="I1" s="650"/>
      <c r="J1" s="134"/>
      <c r="K1" s="134"/>
      <c r="L1" s="796" t="s">
        <v>683</v>
      </c>
      <c r="M1" s="796"/>
    </row>
    <row r="2" spans="2:13" ht="20.25">
      <c r="B2" s="736" t="s">
        <v>841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135"/>
    </row>
    <row r="3" spans="3:13" ht="20.25"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1">
      <c r="A4" s="824" t="s">
        <v>684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</row>
    <row r="5" spans="1:13" ht="12.75">
      <c r="A5" s="825" t="s">
        <v>685</v>
      </c>
      <c r="B5" s="825"/>
      <c r="C5" s="825"/>
      <c r="D5" s="825"/>
      <c r="E5" s="825"/>
      <c r="F5" s="825"/>
      <c r="G5" s="825"/>
      <c r="H5" s="653" t="s">
        <v>843</v>
      </c>
      <c r="I5" s="653"/>
      <c r="J5" s="653"/>
      <c r="K5" s="653"/>
      <c r="L5" s="653"/>
      <c r="M5" s="653"/>
    </row>
    <row r="6" spans="1:13" ht="12">
      <c r="A6" s="733" t="s">
        <v>76</v>
      </c>
      <c r="B6" s="733" t="s">
        <v>311</v>
      </c>
      <c r="C6" s="811" t="s">
        <v>453</v>
      </c>
      <c r="D6" s="812"/>
      <c r="E6" s="812"/>
      <c r="F6" s="812"/>
      <c r="G6" s="813"/>
      <c r="H6" s="732" t="s">
        <v>450</v>
      </c>
      <c r="I6" s="732"/>
      <c r="J6" s="732"/>
      <c r="K6" s="732"/>
      <c r="L6" s="732"/>
      <c r="M6" s="733" t="s">
        <v>312</v>
      </c>
    </row>
    <row r="7" spans="1:13" ht="12">
      <c r="A7" s="734"/>
      <c r="B7" s="734"/>
      <c r="C7" s="814"/>
      <c r="D7" s="815"/>
      <c r="E7" s="815"/>
      <c r="F7" s="815"/>
      <c r="G7" s="816"/>
      <c r="H7" s="732"/>
      <c r="I7" s="732"/>
      <c r="J7" s="732"/>
      <c r="K7" s="732"/>
      <c r="L7" s="732"/>
      <c r="M7" s="734"/>
    </row>
    <row r="8" spans="1:13" ht="12">
      <c r="A8" s="734"/>
      <c r="B8" s="734"/>
      <c r="C8" s="814"/>
      <c r="D8" s="815"/>
      <c r="E8" s="815"/>
      <c r="F8" s="815"/>
      <c r="G8" s="816"/>
      <c r="H8" s="732"/>
      <c r="I8" s="732"/>
      <c r="J8" s="732"/>
      <c r="K8" s="732"/>
      <c r="L8" s="732"/>
      <c r="M8" s="734"/>
    </row>
    <row r="9" spans="1:13" ht="69.75">
      <c r="A9" s="735"/>
      <c r="B9" s="735"/>
      <c r="C9" s="140" t="s">
        <v>313</v>
      </c>
      <c r="D9" s="140" t="s">
        <v>314</v>
      </c>
      <c r="E9" s="140" t="s">
        <v>315</v>
      </c>
      <c r="F9" s="140" t="s">
        <v>316</v>
      </c>
      <c r="G9" s="246" t="s">
        <v>317</v>
      </c>
      <c r="H9" s="245" t="s">
        <v>449</v>
      </c>
      <c r="I9" s="245" t="s">
        <v>454</v>
      </c>
      <c r="J9" s="245" t="s">
        <v>451</v>
      </c>
      <c r="K9" s="245" t="s">
        <v>452</v>
      </c>
      <c r="L9" s="245" t="s">
        <v>49</v>
      </c>
      <c r="M9" s="735"/>
    </row>
    <row r="10" spans="1:13" ht="14.25">
      <c r="A10" s="141">
        <v>1</v>
      </c>
      <c r="B10" s="141">
        <v>2</v>
      </c>
      <c r="C10" s="141">
        <v>3</v>
      </c>
      <c r="D10" s="141">
        <v>4</v>
      </c>
      <c r="E10" s="141">
        <v>5</v>
      </c>
      <c r="F10" s="141">
        <v>6</v>
      </c>
      <c r="G10" s="141">
        <v>7</v>
      </c>
      <c r="H10" s="141">
        <v>8</v>
      </c>
      <c r="I10" s="141">
        <v>9</v>
      </c>
      <c r="J10" s="141">
        <v>10</v>
      </c>
      <c r="K10" s="141">
        <v>11</v>
      </c>
      <c r="L10" s="141">
        <v>12</v>
      </c>
      <c r="M10" s="141">
        <v>13</v>
      </c>
    </row>
    <row r="11" spans="1:13" ht="23.25" customHeight="1">
      <c r="A11" s="186">
        <v>1</v>
      </c>
      <c r="B11" s="240" t="s">
        <v>632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3" ht="23.25" customHeight="1">
      <c r="A12" s="186">
        <v>2</v>
      </c>
      <c r="B12" s="240" t="s">
        <v>633</v>
      </c>
      <c r="C12" s="185"/>
      <c r="D12" s="818" t="s">
        <v>738</v>
      </c>
      <c r="E12" s="819"/>
      <c r="F12" s="819"/>
      <c r="G12" s="819"/>
      <c r="H12" s="819"/>
      <c r="I12" s="819"/>
      <c r="J12" s="819"/>
      <c r="K12" s="820"/>
      <c r="L12" s="185"/>
      <c r="M12" s="185"/>
    </row>
    <row r="13" spans="1:13" ht="22.5" customHeight="1">
      <c r="A13" s="186">
        <v>3</v>
      </c>
      <c r="B13" s="240" t="s">
        <v>634</v>
      </c>
      <c r="C13" s="185"/>
      <c r="D13" s="821"/>
      <c r="E13" s="822"/>
      <c r="F13" s="822"/>
      <c r="G13" s="822"/>
      <c r="H13" s="822"/>
      <c r="I13" s="822"/>
      <c r="J13" s="822"/>
      <c r="K13" s="823"/>
      <c r="L13" s="185"/>
      <c r="M13" s="185"/>
    </row>
    <row r="14" spans="1:13" ht="27" customHeight="1">
      <c r="A14" s="186">
        <v>4</v>
      </c>
      <c r="B14" s="240" t="s">
        <v>635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</row>
    <row r="15" spans="1:13" ht="21" customHeight="1">
      <c r="A15" s="186"/>
      <c r="B15" s="193" t="s">
        <v>625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13" ht="14.25">
      <c r="A16" s="255"/>
      <c r="B16" s="254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ht="14.25">
      <c r="A17" s="255"/>
      <c r="B17" s="254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4.25">
      <c r="A18" s="255"/>
      <c r="B18" s="254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ht="14.25">
      <c r="A19" s="255"/>
      <c r="B19" s="254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ht="14.25">
      <c r="A20" s="255"/>
      <c r="B20" s="254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ht="14.25">
      <c r="A21" s="255"/>
      <c r="B21" s="254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2:6" ht="12">
      <c r="B22" s="101"/>
      <c r="C22" s="817"/>
      <c r="D22" s="817"/>
      <c r="E22" s="817"/>
      <c r="F22" s="817"/>
    </row>
    <row r="24" spans="1:12" ht="12.75">
      <c r="A24" s="13"/>
      <c r="B24" s="13"/>
      <c r="C24" s="13"/>
      <c r="D24" s="13"/>
      <c r="I24" s="80"/>
      <c r="J24" s="80"/>
      <c r="K24" s="602" t="s">
        <v>13</v>
      </c>
      <c r="L24" s="602"/>
    </row>
    <row r="25" spans="1:13" ht="12.75">
      <c r="A25" s="13"/>
      <c r="B25" s="13"/>
      <c r="C25" s="13"/>
      <c r="D25" s="13"/>
      <c r="G25" s="617" t="s">
        <v>14</v>
      </c>
      <c r="H25" s="617"/>
      <c r="I25" s="617"/>
      <c r="J25" s="617"/>
      <c r="K25" s="617"/>
      <c r="L25" s="617"/>
      <c r="M25" s="617"/>
    </row>
    <row r="26" spans="1:13" ht="12.75">
      <c r="A26" s="13"/>
      <c r="B26" s="13"/>
      <c r="C26" s="13"/>
      <c r="D26" s="13"/>
      <c r="G26" s="602" t="s">
        <v>89</v>
      </c>
      <c r="H26" s="602"/>
      <c r="I26" s="602"/>
      <c r="J26" s="602"/>
      <c r="K26" s="602"/>
      <c r="L26" s="602"/>
      <c r="M26" s="602"/>
    </row>
    <row r="27" spans="1:12" ht="12.75">
      <c r="A27" s="13" t="s">
        <v>12</v>
      </c>
      <c r="C27" s="13"/>
      <c r="D27" s="13"/>
      <c r="G27" s="585" t="s">
        <v>86</v>
      </c>
      <c r="H27" s="585"/>
      <c r="I27" s="3"/>
      <c r="J27" s="3"/>
      <c r="K27" s="3"/>
      <c r="L27" s="3"/>
    </row>
  </sheetData>
  <sheetProtection/>
  <mergeCells count="17">
    <mergeCell ref="D12:K13"/>
    <mergeCell ref="C1:I1"/>
    <mergeCell ref="L1:M1"/>
    <mergeCell ref="B2:L2"/>
    <mergeCell ref="A4:M4"/>
    <mergeCell ref="A5:G5"/>
    <mergeCell ref="H5:M5"/>
    <mergeCell ref="K24:L24"/>
    <mergeCell ref="G25:M25"/>
    <mergeCell ref="G26:M26"/>
    <mergeCell ref="G27:H27"/>
    <mergeCell ref="A6:A9"/>
    <mergeCell ref="B6:B9"/>
    <mergeCell ref="C6:G8"/>
    <mergeCell ref="H6:L8"/>
    <mergeCell ref="M6:M9"/>
    <mergeCell ref="C22:F22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90" zoomScaleSheetLayoutView="90" zoomScalePageLayoutView="0" workbookViewId="0" topLeftCell="A3">
      <selection activeCell="E14" sqref="E14"/>
    </sheetView>
  </sheetViews>
  <sheetFormatPr defaultColWidth="9.140625" defaultRowHeight="12.75"/>
  <cols>
    <col min="1" max="1" width="36.00390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5">
      <c r="A1" s="650" t="s">
        <v>0</v>
      </c>
      <c r="B1" s="650"/>
      <c r="C1" s="650"/>
      <c r="D1" s="650"/>
      <c r="E1" s="650"/>
      <c r="F1" s="143" t="s">
        <v>723</v>
      </c>
      <c r="G1" s="134"/>
      <c r="H1" s="134"/>
      <c r="I1" s="134"/>
      <c r="J1" s="134"/>
      <c r="K1" s="134"/>
      <c r="L1" s="134"/>
    </row>
    <row r="2" spans="1:12" ht="20.25">
      <c r="A2" s="736" t="s">
        <v>841</v>
      </c>
      <c r="B2" s="736"/>
      <c r="C2" s="736"/>
      <c r="D2" s="736"/>
      <c r="E2" s="736"/>
      <c r="F2" s="736"/>
      <c r="G2" s="135"/>
      <c r="H2" s="135"/>
      <c r="I2" s="135"/>
      <c r="J2" s="135"/>
      <c r="K2" s="135"/>
      <c r="L2" s="135"/>
    </row>
    <row r="3" spans="1:6" ht="12">
      <c r="A3" s="101"/>
      <c r="B3" s="101"/>
      <c r="C3" s="101"/>
      <c r="D3" s="101"/>
      <c r="E3" s="101"/>
      <c r="F3" s="101"/>
    </row>
    <row r="4" spans="1:7" ht="18">
      <c r="A4" s="826" t="s">
        <v>724</v>
      </c>
      <c r="B4" s="826"/>
      <c r="C4" s="826"/>
      <c r="D4" s="826"/>
      <c r="E4" s="826"/>
      <c r="F4" s="826"/>
      <c r="G4" s="826"/>
    </row>
    <row r="5" spans="1:7" ht="18">
      <c r="A5" s="121" t="s">
        <v>644</v>
      </c>
      <c r="B5" s="144"/>
      <c r="C5" s="144"/>
      <c r="D5" s="144"/>
      <c r="E5" s="144"/>
      <c r="F5" s="144"/>
      <c r="G5" s="144"/>
    </row>
    <row r="6" spans="1:6" ht="30.75">
      <c r="A6" s="145"/>
      <c r="B6" s="146" t="s">
        <v>341</v>
      </c>
      <c r="C6" s="146" t="s">
        <v>342</v>
      </c>
      <c r="D6" s="146" t="s">
        <v>343</v>
      </c>
      <c r="E6" s="147"/>
      <c r="F6" s="147"/>
    </row>
    <row r="7" spans="1:6" ht="14.25">
      <c r="A7" s="148" t="s">
        <v>344</v>
      </c>
      <c r="B7" s="155" t="s">
        <v>665</v>
      </c>
      <c r="C7" s="155" t="s">
        <v>665</v>
      </c>
      <c r="D7" s="155" t="s">
        <v>665</v>
      </c>
      <c r="E7" s="147"/>
      <c r="F7" s="147"/>
    </row>
    <row r="8" spans="1:6" ht="13.5" customHeight="1">
      <c r="A8" s="148" t="s">
        <v>345</v>
      </c>
      <c r="B8" s="155" t="s">
        <v>665</v>
      </c>
      <c r="C8" s="155" t="s">
        <v>665</v>
      </c>
      <c r="D8" s="155" t="s">
        <v>665</v>
      </c>
      <c r="E8" s="147"/>
      <c r="F8" s="147"/>
    </row>
    <row r="9" spans="1:6" ht="13.5" customHeight="1">
      <c r="A9" s="148" t="s">
        <v>346</v>
      </c>
      <c r="B9" s="155"/>
      <c r="C9" s="155"/>
      <c r="D9" s="155"/>
      <c r="E9" s="147"/>
      <c r="F9" s="147"/>
    </row>
    <row r="10" spans="1:6" ht="13.5" customHeight="1">
      <c r="A10" s="149" t="s">
        <v>347</v>
      </c>
      <c r="B10" s="155" t="s">
        <v>666</v>
      </c>
      <c r="C10" s="155" t="s">
        <v>666</v>
      </c>
      <c r="D10" s="155" t="s">
        <v>666</v>
      </c>
      <c r="E10" s="147"/>
      <c r="F10" s="147"/>
    </row>
    <row r="11" spans="1:6" ht="13.5" customHeight="1">
      <c r="A11" s="149" t="s">
        <v>348</v>
      </c>
      <c r="B11" s="155" t="s">
        <v>665</v>
      </c>
      <c r="C11" s="155" t="s">
        <v>665</v>
      </c>
      <c r="D11" s="155" t="s">
        <v>665</v>
      </c>
      <c r="E11" s="147"/>
      <c r="F11" s="147"/>
    </row>
    <row r="12" spans="1:6" ht="13.5" customHeight="1">
      <c r="A12" s="149" t="s">
        <v>349</v>
      </c>
      <c r="B12" s="155"/>
      <c r="C12" s="155"/>
      <c r="D12" s="155"/>
      <c r="E12" s="147"/>
      <c r="F12" s="147"/>
    </row>
    <row r="13" spans="1:6" ht="13.5" customHeight="1">
      <c r="A13" s="149" t="s">
        <v>350</v>
      </c>
      <c r="B13" s="155" t="s">
        <v>665</v>
      </c>
      <c r="C13" s="155" t="s">
        <v>665</v>
      </c>
      <c r="D13" s="155" t="s">
        <v>665</v>
      </c>
      <c r="E13" s="147"/>
      <c r="F13" s="147"/>
    </row>
    <row r="14" spans="1:6" ht="13.5" customHeight="1">
      <c r="A14" s="149" t="s">
        <v>351</v>
      </c>
      <c r="B14" s="155" t="s">
        <v>665</v>
      </c>
      <c r="C14" s="155" t="s">
        <v>665</v>
      </c>
      <c r="D14" s="155" t="s">
        <v>665</v>
      </c>
      <c r="E14" s="147"/>
      <c r="F14" s="147"/>
    </row>
    <row r="15" spans="1:6" ht="13.5" customHeight="1">
      <c r="A15" s="149" t="s">
        <v>352</v>
      </c>
      <c r="B15" s="155" t="s">
        <v>665</v>
      </c>
      <c r="C15" s="155" t="s">
        <v>665</v>
      </c>
      <c r="D15" s="155" t="s">
        <v>665</v>
      </c>
      <c r="E15" s="147"/>
      <c r="F15" s="147"/>
    </row>
    <row r="16" spans="1:6" ht="13.5" customHeight="1">
      <c r="A16" s="149" t="s">
        <v>353</v>
      </c>
      <c r="B16" s="155" t="s">
        <v>665</v>
      </c>
      <c r="C16" s="155" t="s">
        <v>665</v>
      </c>
      <c r="D16" s="155" t="s">
        <v>665</v>
      </c>
      <c r="E16" s="147"/>
      <c r="F16" s="147"/>
    </row>
    <row r="17" spans="1:6" ht="13.5" customHeight="1">
      <c r="A17" s="149" t="s">
        <v>354</v>
      </c>
      <c r="B17" s="155" t="s">
        <v>665</v>
      </c>
      <c r="C17" s="155" t="s">
        <v>665</v>
      </c>
      <c r="D17" s="155" t="s">
        <v>665</v>
      </c>
      <c r="E17" s="147"/>
      <c r="F17" s="147"/>
    </row>
    <row r="18" spans="1:6" ht="13.5" customHeight="1">
      <c r="A18" s="150"/>
      <c r="B18" s="151"/>
      <c r="C18" s="151"/>
      <c r="D18" s="151"/>
      <c r="E18" s="147"/>
      <c r="F18" s="147"/>
    </row>
    <row r="19" spans="1:7" ht="13.5" customHeight="1">
      <c r="A19" s="826" t="s">
        <v>355</v>
      </c>
      <c r="B19" s="826"/>
      <c r="C19" s="826"/>
      <c r="D19" s="826"/>
      <c r="E19" s="826"/>
      <c r="F19" s="826"/>
      <c r="G19" s="826"/>
    </row>
    <row r="20" spans="1:7" ht="14.25">
      <c r="A20" s="147"/>
      <c r="B20" s="147"/>
      <c r="C20" s="147"/>
      <c r="D20" s="147"/>
      <c r="E20" s="653" t="s">
        <v>843</v>
      </c>
      <c r="F20" s="653"/>
      <c r="G20" s="653"/>
    </row>
    <row r="21" spans="1:6" ht="45.75" customHeight="1">
      <c r="A21" s="138" t="s">
        <v>456</v>
      </c>
      <c r="B21" s="138" t="s">
        <v>3</v>
      </c>
      <c r="C21" s="152" t="s">
        <v>356</v>
      </c>
      <c r="D21" s="153" t="s">
        <v>357</v>
      </c>
      <c r="E21" s="138" t="s">
        <v>358</v>
      </c>
      <c r="F21" s="138" t="s">
        <v>359</v>
      </c>
    </row>
    <row r="22" spans="1:6" ht="14.25">
      <c r="A22" s="148" t="s">
        <v>360</v>
      </c>
      <c r="B22" s="155">
        <v>0</v>
      </c>
      <c r="C22" s="155">
        <v>0</v>
      </c>
      <c r="D22" s="155">
        <v>0</v>
      </c>
      <c r="E22" s="155">
        <v>0</v>
      </c>
      <c r="F22" s="154"/>
    </row>
    <row r="23" spans="1:6" ht="14.25">
      <c r="A23" s="148" t="s">
        <v>361</v>
      </c>
      <c r="B23" s="155">
        <v>0</v>
      </c>
      <c r="C23" s="155">
        <v>0</v>
      </c>
      <c r="D23" s="155">
        <v>0</v>
      </c>
      <c r="E23" s="155">
        <v>0</v>
      </c>
      <c r="F23" s="154"/>
    </row>
    <row r="24" spans="1:6" ht="14.25">
      <c r="A24" s="148" t="s">
        <v>362</v>
      </c>
      <c r="B24" s="155">
        <v>0</v>
      </c>
      <c r="C24" s="155">
        <v>0</v>
      </c>
      <c r="D24" s="155">
        <v>0</v>
      </c>
      <c r="E24" s="155">
        <v>0</v>
      </c>
      <c r="F24" s="154"/>
    </row>
    <row r="25" spans="1:6" ht="25.5">
      <c r="A25" s="148" t="s">
        <v>363</v>
      </c>
      <c r="B25" s="155">
        <v>0</v>
      </c>
      <c r="C25" s="155">
        <v>0</v>
      </c>
      <c r="D25" s="155">
        <v>0</v>
      </c>
      <c r="E25" s="155">
        <v>0</v>
      </c>
      <c r="F25" s="154"/>
    </row>
    <row r="26" spans="1:6" ht="32.25" customHeight="1">
      <c r="A26" s="148" t="s">
        <v>364</v>
      </c>
      <c r="B26" s="155" t="s">
        <v>631</v>
      </c>
      <c r="C26" s="155" t="s">
        <v>631</v>
      </c>
      <c r="D26" s="155" t="s">
        <v>631</v>
      </c>
      <c r="E26" s="155" t="s">
        <v>631</v>
      </c>
      <c r="F26" s="154"/>
    </row>
    <row r="27" spans="1:6" ht="14.25">
      <c r="A27" s="148" t="s">
        <v>365</v>
      </c>
      <c r="B27" s="155">
        <v>0</v>
      </c>
      <c r="C27" s="155">
        <v>0</v>
      </c>
      <c r="D27" s="155">
        <v>0</v>
      </c>
      <c r="E27" s="155">
        <v>0</v>
      </c>
      <c r="F27" s="154"/>
    </row>
    <row r="28" spans="1:6" ht="14.25">
      <c r="A28" s="148" t="s">
        <v>366</v>
      </c>
      <c r="B28" s="155">
        <v>0</v>
      </c>
      <c r="C28" s="155">
        <v>0</v>
      </c>
      <c r="D28" s="155">
        <v>0</v>
      </c>
      <c r="E28" s="155">
        <v>0</v>
      </c>
      <c r="F28" s="154"/>
    </row>
    <row r="29" spans="1:6" ht="14.25">
      <c r="A29" s="148" t="s">
        <v>367</v>
      </c>
      <c r="B29" s="155">
        <v>0</v>
      </c>
      <c r="C29" s="155">
        <v>0</v>
      </c>
      <c r="D29" s="155">
        <v>0</v>
      </c>
      <c r="E29" s="155">
        <v>0</v>
      </c>
      <c r="F29" s="154"/>
    </row>
    <row r="30" spans="1:6" ht="14.25">
      <c r="A30" s="148" t="s">
        <v>368</v>
      </c>
      <c r="B30" s="155">
        <v>0</v>
      </c>
      <c r="C30" s="155">
        <v>0</v>
      </c>
      <c r="D30" s="155">
        <v>0</v>
      </c>
      <c r="E30" s="155">
        <v>0</v>
      </c>
      <c r="F30" s="154"/>
    </row>
    <row r="31" spans="1:6" ht="14.25">
      <c r="A31" s="148" t="s">
        <v>369</v>
      </c>
      <c r="B31" s="155">
        <v>0</v>
      </c>
      <c r="C31" s="155">
        <v>0</v>
      </c>
      <c r="D31" s="155">
        <v>0</v>
      </c>
      <c r="E31" s="155">
        <v>0</v>
      </c>
      <c r="F31" s="154"/>
    </row>
    <row r="32" spans="1:6" ht="14.25">
      <c r="A32" s="148" t="s">
        <v>370</v>
      </c>
      <c r="B32" s="155">
        <v>0</v>
      </c>
      <c r="C32" s="155">
        <v>0</v>
      </c>
      <c r="D32" s="155">
        <v>0</v>
      </c>
      <c r="E32" s="155">
        <v>0</v>
      </c>
      <c r="F32" s="154"/>
    </row>
    <row r="33" spans="1:6" ht="14.25">
      <c r="A33" s="148" t="s">
        <v>371</v>
      </c>
      <c r="B33" s="155">
        <v>0</v>
      </c>
      <c r="C33" s="155">
        <v>0</v>
      </c>
      <c r="D33" s="155">
        <v>0</v>
      </c>
      <c r="E33" s="155">
        <v>0</v>
      </c>
      <c r="F33" s="154"/>
    </row>
    <row r="34" spans="1:6" ht="14.25">
      <c r="A34" s="148" t="s">
        <v>372</v>
      </c>
      <c r="B34" s="155">
        <v>0</v>
      </c>
      <c r="C34" s="155">
        <v>0</v>
      </c>
      <c r="D34" s="155">
        <v>0</v>
      </c>
      <c r="E34" s="155">
        <v>0</v>
      </c>
      <c r="F34" s="154"/>
    </row>
    <row r="35" spans="1:6" ht="14.25">
      <c r="A35" s="148" t="s">
        <v>373</v>
      </c>
      <c r="B35" s="155">
        <v>0</v>
      </c>
      <c r="C35" s="155">
        <v>0</v>
      </c>
      <c r="D35" s="155">
        <v>0</v>
      </c>
      <c r="E35" s="155">
        <v>0</v>
      </c>
      <c r="F35" s="154"/>
    </row>
    <row r="36" spans="1:6" ht="14.25">
      <c r="A36" s="148" t="s">
        <v>374</v>
      </c>
      <c r="B36" s="155">
        <v>0</v>
      </c>
      <c r="C36" s="155">
        <v>0</v>
      </c>
      <c r="D36" s="155">
        <v>0</v>
      </c>
      <c r="E36" s="155">
        <v>0</v>
      </c>
      <c r="F36" s="154"/>
    </row>
    <row r="37" spans="1:6" ht="14.25">
      <c r="A37" s="148" t="s">
        <v>375</v>
      </c>
      <c r="B37" s="155">
        <v>0</v>
      </c>
      <c r="C37" s="155">
        <v>0</v>
      </c>
      <c r="D37" s="155">
        <v>0</v>
      </c>
      <c r="E37" s="155">
        <v>0</v>
      </c>
      <c r="F37" s="154"/>
    </row>
    <row r="38" spans="1:6" ht="14.25">
      <c r="A38" s="148" t="s">
        <v>49</v>
      </c>
      <c r="B38" s="155">
        <v>0</v>
      </c>
      <c r="C38" s="155">
        <v>0</v>
      </c>
      <c r="D38" s="155">
        <v>0</v>
      </c>
      <c r="E38" s="155">
        <v>0</v>
      </c>
      <c r="F38" s="154"/>
    </row>
    <row r="39" spans="1:6" ht="14.25">
      <c r="A39" s="155" t="s">
        <v>19</v>
      </c>
      <c r="B39" s="155">
        <f>SUM(B22:B38)</f>
        <v>0</v>
      </c>
      <c r="C39" s="155">
        <f>SUM(C22:C38)</f>
        <v>0</v>
      </c>
      <c r="D39" s="231">
        <f>SUM(D22:D38)</f>
        <v>0</v>
      </c>
      <c r="E39" s="232">
        <f>SUM(E22:E38)</f>
        <v>0</v>
      </c>
      <c r="F39" s="154"/>
    </row>
    <row r="43" ht="15" customHeight="1"/>
    <row r="44" ht="15" customHeight="1"/>
    <row r="45" ht="15" customHeight="1"/>
    <row r="48" ht="12" hidden="1"/>
    <row r="49" ht="12.75" customHeight="1"/>
    <row r="50" spans="4:7" ht="12.75" customHeight="1">
      <c r="D50" s="617" t="s">
        <v>13</v>
      </c>
      <c r="E50" s="617"/>
      <c r="F50" s="617"/>
      <c r="G50" s="617"/>
    </row>
    <row r="51" spans="1:7" ht="12.75">
      <c r="A51" s="13"/>
      <c r="B51" s="13"/>
      <c r="C51" s="13"/>
      <c r="D51" s="617"/>
      <c r="E51" s="617"/>
      <c r="F51" s="617"/>
      <c r="G51" s="617"/>
    </row>
    <row r="52" spans="1:7" ht="12.75">
      <c r="A52" s="13"/>
      <c r="B52" s="13"/>
      <c r="C52" s="13"/>
      <c r="D52" s="617" t="s">
        <v>14</v>
      </c>
      <c r="E52" s="617"/>
      <c r="F52" s="617"/>
      <c r="G52" s="617"/>
    </row>
    <row r="53" spans="1:7" ht="12.75">
      <c r="A53" s="13"/>
      <c r="B53" s="13"/>
      <c r="C53" s="13"/>
      <c r="D53" s="617" t="s">
        <v>89</v>
      </c>
      <c r="E53" s="617"/>
      <c r="F53" s="617"/>
      <c r="G53" s="617"/>
    </row>
    <row r="54" spans="1:7" ht="12.75">
      <c r="A54" s="13" t="s">
        <v>12</v>
      </c>
      <c r="C54" s="13"/>
      <c r="D54" s="3" t="s">
        <v>86</v>
      </c>
      <c r="E54" s="3"/>
      <c r="F54" s="3"/>
      <c r="G54" s="13"/>
    </row>
  </sheetData>
  <sheetProtection/>
  <mergeCells count="8">
    <mergeCell ref="D53:G53"/>
    <mergeCell ref="A1:E1"/>
    <mergeCell ref="A2:F2"/>
    <mergeCell ref="A4:G4"/>
    <mergeCell ref="A19:G19"/>
    <mergeCell ref="E20:G20"/>
    <mergeCell ref="D50:G51"/>
    <mergeCell ref="D52:G52"/>
  </mergeCells>
  <printOptions horizontalCentered="1"/>
  <pageMargins left="0.511811023622047" right="0.511811023622047" top="1.02362204724409" bottom="0.19687500000000002" header="0.31496062992126" footer="0.31496062992126"/>
  <pageSetup fitToHeight="1" fitToWidth="1" horizontalDpi="600" verticalDpi="600" orientation="landscape" paperSize="9" scale="6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J15"/>
  <sheetViews>
    <sheetView view="pageBreakPreview" zoomScale="90" zoomScaleSheetLayoutView="90" zoomScalePageLayoutView="0" workbookViewId="0" topLeftCell="A1">
      <selection activeCell="O16" sqref="O16"/>
    </sheetView>
  </sheetViews>
  <sheetFormatPr defaultColWidth="9.140625" defaultRowHeight="12.75"/>
  <sheetData>
    <row r="2" ht="12.75">
      <c r="B2" s="13"/>
    </row>
    <row r="4" spans="1:10" ht="12.75" customHeight="1">
      <c r="A4" s="827" t="s">
        <v>900</v>
      </c>
      <c r="B4" s="827"/>
      <c r="C4" s="827"/>
      <c r="D4" s="827"/>
      <c r="E4" s="827"/>
      <c r="F4" s="827"/>
      <c r="G4" s="827"/>
      <c r="H4" s="827"/>
      <c r="I4" s="827"/>
      <c r="J4" s="827"/>
    </row>
    <row r="5" spans="1:10" ht="12.75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</row>
    <row r="6" spans="1:10" ht="12.75" customHeight="1">
      <c r="A6" s="827"/>
      <c r="B6" s="827"/>
      <c r="C6" s="827"/>
      <c r="D6" s="827"/>
      <c r="E6" s="827"/>
      <c r="F6" s="827"/>
      <c r="G6" s="827"/>
      <c r="H6" s="827"/>
      <c r="I6" s="827"/>
      <c r="J6" s="827"/>
    </row>
    <row r="7" spans="1:10" ht="12.75" customHeight="1">
      <c r="A7" s="827"/>
      <c r="B7" s="827"/>
      <c r="C7" s="827"/>
      <c r="D7" s="827"/>
      <c r="E7" s="827"/>
      <c r="F7" s="827"/>
      <c r="G7" s="827"/>
      <c r="H7" s="827"/>
      <c r="I7" s="827"/>
      <c r="J7" s="827"/>
    </row>
    <row r="8" spans="1:10" ht="12.75" customHeight="1">
      <c r="A8" s="827"/>
      <c r="B8" s="827"/>
      <c r="C8" s="827"/>
      <c r="D8" s="827"/>
      <c r="E8" s="827"/>
      <c r="F8" s="827"/>
      <c r="G8" s="827"/>
      <c r="H8" s="827"/>
      <c r="I8" s="827"/>
      <c r="J8" s="827"/>
    </row>
    <row r="9" spans="1:10" ht="12.75" customHeight="1">
      <c r="A9" s="827"/>
      <c r="B9" s="827"/>
      <c r="C9" s="827"/>
      <c r="D9" s="827"/>
      <c r="E9" s="827"/>
      <c r="F9" s="827"/>
      <c r="G9" s="827"/>
      <c r="H9" s="827"/>
      <c r="I9" s="827"/>
      <c r="J9" s="827"/>
    </row>
    <row r="10" spans="1:10" ht="12.75" customHeight="1">
      <c r="A10" s="827"/>
      <c r="B10" s="827"/>
      <c r="C10" s="827"/>
      <c r="D10" s="827"/>
      <c r="E10" s="827"/>
      <c r="F10" s="827"/>
      <c r="G10" s="827"/>
      <c r="H10" s="827"/>
      <c r="I10" s="827"/>
      <c r="J10" s="827"/>
    </row>
    <row r="11" spans="1:10" ht="12.75" customHeight="1">
      <c r="A11" s="827"/>
      <c r="B11" s="827"/>
      <c r="C11" s="827"/>
      <c r="D11" s="827"/>
      <c r="E11" s="827"/>
      <c r="F11" s="827"/>
      <c r="G11" s="827"/>
      <c r="H11" s="827"/>
      <c r="I11" s="827"/>
      <c r="J11" s="827"/>
    </row>
    <row r="12" spans="1:10" ht="12.75" customHeight="1">
      <c r="A12" s="827"/>
      <c r="B12" s="827"/>
      <c r="C12" s="827"/>
      <c r="D12" s="827"/>
      <c r="E12" s="827"/>
      <c r="F12" s="827"/>
      <c r="G12" s="827"/>
      <c r="H12" s="827"/>
      <c r="I12" s="827"/>
      <c r="J12" s="827"/>
    </row>
    <row r="13" spans="1:10" ht="12.75" customHeight="1">
      <c r="A13" s="827"/>
      <c r="B13" s="827"/>
      <c r="C13" s="827"/>
      <c r="D13" s="827"/>
      <c r="E13" s="827"/>
      <c r="F13" s="827"/>
      <c r="G13" s="827"/>
      <c r="H13" s="827"/>
      <c r="I13" s="827"/>
      <c r="J13" s="827"/>
    </row>
    <row r="14" spans="1:10" ht="12">
      <c r="A14" s="827"/>
      <c r="B14" s="827"/>
      <c r="C14" s="827"/>
      <c r="D14" s="827"/>
      <c r="E14" s="827"/>
      <c r="F14" s="827"/>
      <c r="G14" s="827"/>
      <c r="H14" s="827"/>
      <c r="I14" s="827"/>
      <c r="J14" s="827"/>
    </row>
    <row r="15" spans="1:10" ht="49.5" customHeight="1">
      <c r="A15" s="827"/>
      <c r="B15" s="827"/>
      <c r="C15" s="827"/>
      <c r="D15" s="827"/>
      <c r="E15" s="827"/>
      <c r="F15" s="827"/>
      <c r="G15" s="827"/>
      <c r="H15" s="827"/>
      <c r="I15" s="827"/>
      <c r="J15" s="827"/>
    </row>
  </sheetData>
  <sheetProtection/>
  <mergeCells count="1">
    <mergeCell ref="A4:J15"/>
  </mergeCells>
  <printOptions horizontalCentered="1"/>
  <pageMargins left="0.708661417322835" right="0.708661417322835" top="1.73228346456693" bottom="0.748031496062992" header="0.31496062992126" footer="0.31496062992126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="80" zoomScaleSheetLayoutView="80" zoomScalePageLayoutView="0" workbookViewId="0" topLeftCell="A4">
      <selection activeCell="I25" sqref="I25"/>
    </sheetView>
  </sheetViews>
  <sheetFormatPr defaultColWidth="9.140625" defaultRowHeight="12.75"/>
  <cols>
    <col min="1" max="1" width="4.7109375" style="38" customWidth="1"/>
    <col min="2" max="2" width="16.8515625" style="38" customWidth="1"/>
    <col min="3" max="3" width="11.7109375" style="38" customWidth="1"/>
    <col min="4" max="4" width="12.00390625" style="38" customWidth="1"/>
    <col min="5" max="5" width="12.140625" style="38" customWidth="1"/>
    <col min="6" max="6" width="17.421875" style="38" customWidth="1"/>
    <col min="7" max="7" width="12.421875" style="38" customWidth="1"/>
    <col min="8" max="8" width="16.00390625" style="38" customWidth="1"/>
    <col min="9" max="9" width="12.7109375" style="38" customWidth="1"/>
    <col min="10" max="10" width="15.00390625" style="38" customWidth="1"/>
    <col min="11" max="11" width="16.00390625" style="38" customWidth="1"/>
    <col min="12" max="12" width="11.8515625" style="38" customWidth="1"/>
    <col min="13" max="16384" width="9.140625" style="38" customWidth="1"/>
  </cols>
  <sheetData>
    <row r="1" spans="3:11" ht="15" customHeight="1">
      <c r="C1" s="551"/>
      <c r="D1" s="551"/>
      <c r="E1" s="551"/>
      <c r="F1" s="551"/>
      <c r="G1" s="551"/>
      <c r="H1" s="551"/>
      <c r="I1" s="103"/>
      <c r="J1" s="723" t="s">
        <v>725</v>
      </c>
      <c r="K1" s="723"/>
    </row>
    <row r="2" spans="1:11" s="41" customFormat="1" ht="19.5" customHeight="1">
      <c r="A2" s="832" t="s">
        <v>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1:11" s="41" customFormat="1" ht="19.5" customHeight="1">
      <c r="A3" s="831" t="s">
        <v>841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</row>
    <row r="4" spans="1:11" s="41" customFormat="1" ht="14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41" customFormat="1" ht="18" customHeight="1">
      <c r="A5" s="754" t="s">
        <v>901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</row>
    <row r="6" spans="1:11" ht="15">
      <c r="A6" s="579" t="s">
        <v>644</v>
      </c>
      <c r="B6" s="579"/>
      <c r="C6" s="12"/>
      <c r="D6" s="12"/>
      <c r="E6" s="12"/>
      <c r="F6" s="12"/>
      <c r="G6" s="12"/>
      <c r="H6" s="12"/>
      <c r="I6" s="12"/>
      <c r="J6" s="12"/>
      <c r="K6" s="12"/>
    </row>
    <row r="7" spans="1:12" ht="29.25" customHeight="1">
      <c r="A7" s="829" t="s">
        <v>76</v>
      </c>
      <c r="B7" s="829" t="s">
        <v>77</v>
      </c>
      <c r="C7" s="829" t="s">
        <v>78</v>
      </c>
      <c r="D7" s="829" t="s">
        <v>175</v>
      </c>
      <c r="E7" s="829"/>
      <c r="F7" s="829"/>
      <c r="G7" s="829"/>
      <c r="H7" s="829"/>
      <c r="I7" s="600" t="s">
        <v>266</v>
      </c>
      <c r="J7" s="829" t="s">
        <v>79</v>
      </c>
      <c r="K7" s="829" t="s">
        <v>521</v>
      </c>
      <c r="L7" s="833" t="s">
        <v>80</v>
      </c>
    </row>
    <row r="8" spans="1:12" ht="33.75" customHeight="1">
      <c r="A8" s="829"/>
      <c r="B8" s="829"/>
      <c r="C8" s="829"/>
      <c r="D8" s="829" t="s">
        <v>81</v>
      </c>
      <c r="E8" s="829" t="s">
        <v>82</v>
      </c>
      <c r="F8" s="829"/>
      <c r="G8" s="829"/>
      <c r="H8" s="39" t="s">
        <v>83</v>
      </c>
      <c r="I8" s="830"/>
      <c r="J8" s="829"/>
      <c r="K8" s="829"/>
      <c r="L8" s="833"/>
    </row>
    <row r="9" spans="1:12" ht="27.75">
      <c r="A9" s="829"/>
      <c r="B9" s="829"/>
      <c r="C9" s="829"/>
      <c r="D9" s="829"/>
      <c r="E9" s="39" t="s">
        <v>84</v>
      </c>
      <c r="F9" s="39" t="s">
        <v>85</v>
      </c>
      <c r="G9" s="39" t="s">
        <v>19</v>
      </c>
      <c r="H9" s="39"/>
      <c r="I9" s="601"/>
      <c r="J9" s="829"/>
      <c r="K9" s="829"/>
      <c r="L9" s="833"/>
    </row>
    <row r="10" spans="1:12" s="95" customFormat="1" ht="16.5" customHeight="1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</row>
    <row r="11" spans="1:12" ht="16.5" customHeight="1">
      <c r="A11" s="201">
        <v>1</v>
      </c>
      <c r="B11" s="199" t="s">
        <v>749</v>
      </c>
      <c r="C11" s="287">
        <v>30</v>
      </c>
      <c r="D11" s="288">
        <v>0</v>
      </c>
      <c r="E11" s="288">
        <v>4</v>
      </c>
      <c r="F11" s="288">
        <v>2</v>
      </c>
      <c r="G11" s="288">
        <f aca="true" t="shared" si="0" ref="G11:G22">SUM(E11:F11)</f>
        <v>6</v>
      </c>
      <c r="H11" s="288">
        <f aca="true" t="shared" si="1" ref="H11:H22">D11+G11</f>
        <v>6</v>
      </c>
      <c r="I11" s="288">
        <f aca="true" t="shared" si="2" ref="I11:I22">C11-H11</f>
        <v>24</v>
      </c>
      <c r="J11" s="288">
        <v>24</v>
      </c>
      <c r="K11" s="200"/>
      <c r="L11" s="200"/>
    </row>
    <row r="12" spans="1:12" ht="16.5" customHeight="1">
      <c r="A12" s="201">
        <v>2</v>
      </c>
      <c r="B12" s="199" t="s">
        <v>750</v>
      </c>
      <c r="C12" s="287">
        <v>31</v>
      </c>
      <c r="D12" s="288">
        <v>0</v>
      </c>
      <c r="E12" s="288">
        <v>4</v>
      </c>
      <c r="F12" s="288">
        <v>2</v>
      </c>
      <c r="G12" s="288">
        <f t="shared" si="0"/>
        <v>6</v>
      </c>
      <c r="H12" s="288">
        <f t="shared" si="1"/>
        <v>6</v>
      </c>
      <c r="I12" s="288">
        <f t="shared" si="2"/>
        <v>25</v>
      </c>
      <c r="J12" s="288">
        <v>25</v>
      </c>
      <c r="K12" s="200"/>
      <c r="L12" s="200"/>
    </row>
    <row r="13" spans="1:12" ht="16.5" customHeight="1">
      <c r="A13" s="201">
        <v>3</v>
      </c>
      <c r="B13" s="199" t="s">
        <v>751</v>
      </c>
      <c r="C13" s="287">
        <v>30</v>
      </c>
      <c r="D13" s="288">
        <v>3</v>
      </c>
      <c r="E13" s="288">
        <v>5</v>
      </c>
      <c r="F13" s="288">
        <v>3</v>
      </c>
      <c r="G13" s="288">
        <f t="shared" si="0"/>
        <v>8</v>
      </c>
      <c r="H13" s="288">
        <f t="shared" si="1"/>
        <v>11</v>
      </c>
      <c r="I13" s="288">
        <f t="shared" si="2"/>
        <v>19</v>
      </c>
      <c r="J13" s="288">
        <v>19</v>
      </c>
      <c r="K13" s="200"/>
      <c r="L13" s="200"/>
    </row>
    <row r="14" spans="1:12" ht="16.5" customHeight="1">
      <c r="A14" s="201">
        <v>4</v>
      </c>
      <c r="B14" s="199" t="s">
        <v>752</v>
      </c>
      <c r="C14" s="287">
        <v>31</v>
      </c>
      <c r="D14" s="288">
        <v>17</v>
      </c>
      <c r="E14" s="288">
        <v>4</v>
      </c>
      <c r="F14" s="288">
        <v>1</v>
      </c>
      <c r="G14" s="288">
        <f t="shared" si="0"/>
        <v>5</v>
      </c>
      <c r="H14" s="288">
        <f t="shared" si="1"/>
        <v>22</v>
      </c>
      <c r="I14" s="288">
        <f t="shared" si="2"/>
        <v>9</v>
      </c>
      <c r="J14" s="288">
        <v>9</v>
      </c>
      <c r="K14" s="200"/>
      <c r="L14" s="200"/>
    </row>
    <row r="15" spans="1:12" ht="16.5" customHeight="1">
      <c r="A15" s="201">
        <v>5</v>
      </c>
      <c r="B15" s="199" t="s">
        <v>753</v>
      </c>
      <c r="C15" s="287">
        <v>31</v>
      </c>
      <c r="D15" s="288">
        <v>0</v>
      </c>
      <c r="E15" s="288">
        <v>4</v>
      </c>
      <c r="F15" s="288">
        <v>4</v>
      </c>
      <c r="G15" s="288">
        <f t="shared" si="0"/>
        <v>8</v>
      </c>
      <c r="H15" s="288">
        <f t="shared" si="1"/>
        <v>8</v>
      </c>
      <c r="I15" s="288">
        <f t="shared" si="2"/>
        <v>23</v>
      </c>
      <c r="J15" s="288">
        <v>23</v>
      </c>
      <c r="K15" s="200"/>
      <c r="L15" s="200"/>
    </row>
    <row r="16" spans="1:12" s="42" customFormat="1" ht="16.5" customHeight="1">
      <c r="A16" s="201">
        <v>6</v>
      </c>
      <c r="B16" s="199" t="s">
        <v>754</v>
      </c>
      <c r="C16" s="285">
        <v>30</v>
      </c>
      <c r="D16" s="286">
        <v>0</v>
      </c>
      <c r="E16" s="286">
        <v>5</v>
      </c>
      <c r="F16" s="286">
        <v>2</v>
      </c>
      <c r="G16" s="286">
        <f t="shared" si="0"/>
        <v>7</v>
      </c>
      <c r="H16" s="288">
        <f t="shared" si="1"/>
        <v>7</v>
      </c>
      <c r="I16" s="288">
        <f t="shared" si="2"/>
        <v>23</v>
      </c>
      <c r="J16" s="288">
        <v>23</v>
      </c>
      <c r="K16" s="201"/>
      <c r="L16" s="200"/>
    </row>
    <row r="17" spans="1:12" s="42" customFormat="1" ht="16.5" customHeight="1">
      <c r="A17" s="201">
        <v>7</v>
      </c>
      <c r="B17" s="199" t="s">
        <v>755</v>
      </c>
      <c r="C17" s="285">
        <v>31</v>
      </c>
      <c r="D17" s="286">
        <v>0</v>
      </c>
      <c r="E17" s="286">
        <v>4</v>
      </c>
      <c r="F17" s="286">
        <v>10</v>
      </c>
      <c r="G17" s="286">
        <f t="shared" si="0"/>
        <v>14</v>
      </c>
      <c r="H17" s="288">
        <f t="shared" si="1"/>
        <v>14</v>
      </c>
      <c r="I17" s="288">
        <f t="shared" si="2"/>
        <v>17</v>
      </c>
      <c r="J17" s="288">
        <v>17</v>
      </c>
      <c r="K17" s="201"/>
      <c r="L17" s="200"/>
    </row>
    <row r="18" spans="1:12" s="42" customFormat="1" ht="16.5" customHeight="1">
      <c r="A18" s="201">
        <v>8</v>
      </c>
      <c r="B18" s="199" t="s">
        <v>756</v>
      </c>
      <c r="C18" s="285">
        <v>30</v>
      </c>
      <c r="D18" s="286">
        <v>0</v>
      </c>
      <c r="E18" s="286">
        <v>4</v>
      </c>
      <c r="F18" s="286">
        <v>2</v>
      </c>
      <c r="G18" s="286">
        <f t="shared" si="0"/>
        <v>6</v>
      </c>
      <c r="H18" s="288">
        <f t="shared" si="1"/>
        <v>6</v>
      </c>
      <c r="I18" s="288">
        <f t="shared" si="2"/>
        <v>24</v>
      </c>
      <c r="J18" s="288">
        <v>24</v>
      </c>
      <c r="K18" s="201"/>
      <c r="L18" s="200"/>
    </row>
    <row r="19" spans="1:13" s="42" customFormat="1" ht="16.5" customHeight="1">
      <c r="A19" s="201">
        <v>9</v>
      </c>
      <c r="B19" s="199" t="s">
        <v>757</v>
      </c>
      <c r="C19" s="285">
        <v>31</v>
      </c>
      <c r="D19" s="286">
        <v>0</v>
      </c>
      <c r="E19" s="286">
        <v>5</v>
      </c>
      <c r="F19" s="286">
        <v>8</v>
      </c>
      <c r="G19" s="286">
        <f t="shared" si="0"/>
        <v>13</v>
      </c>
      <c r="H19" s="288">
        <f t="shared" si="1"/>
        <v>13</v>
      </c>
      <c r="I19" s="288">
        <f t="shared" si="2"/>
        <v>18</v>
      </c>
      <c r="J19" s="288">
        <v>18</v>
      </c>
      <c r="K19" s="201"/>
      <c r="L19" s="200"/>
      <c r="M19" s="42">
        <v>23</v>
      </c>
    </row>
    <row r="20" spans="1:12" s="42" customFormat="1" ht="16.5" customHeight="1">
      <c r="A20" s="201">
        <v>10</v>
      </c>
      <c r="B20" s="199" t="s">
        <v>758</v>
      </c>
      <c r="C20" s="285">
        <v>31</v>
      </c>
      <c r="D20" s="286">
        <v>24</v>
      </c>
      <c r="E20" s="286">
        <v>4</v>
      </c>
      <c r="F20" s="286">
        <v>3</v>
      </c>
      <c r="G20" s="286">
        <f t="shared" si="0"/>
        <v>7</v>
      </c>
      <c r="H20" s="288">
        <f t="shared" si="1"/>
        <v>31</v>
      </c>
      <c r="I20" s="288">
        <f t="shared" si="2"/>
        <v>0</v>
      </c>
      <c r="J20" s="288">
        <v>0</v>
      </c>
      <c r="K20" s="201"/>
      <c r="L20" s="200"/>
    </row>
    <row r="21" spans="1:12" s="42" customFormat="1" ht="16.5" customHeight="1">
      <c r="A21" s="201">
        <v>11</v>
      </c>
      <c r="B21" s="199" t="s">
        <v>759</v>
      </c>
      <c r="C21" s="285">
        <v>29</v>
      </c>
      <c r="D21" s="286">
        <v>1</v>
      </c>
      <c r="E21" s="286">
        <v>4</v>
      </c>
      <c r="F21" s="286">
        <v>2</v>
      </c>
      <c r="G21" s="286">
        <f t="shared" si="0"/>
        <v>6</v>
      </c>
      <c r="H21" s="288">
        <f t="shared" si="1"/>
        <v>7</v>
      </c>
      <c r="I21" s="288">
        <f t="shared" si="2"/>
        <v>22</v>
      </c>
      <c r="J21" s="288">
        <v>22</v>
      </c>
      <c r="K21" s="286"/>
      <c r="L21" s="200"/>
    </row>
    <row r="22" spans="1:12" s="42" customFormat="1" ht="16.5" customHeight="1">
      <c r="A22" s="201">
        <v>12</v>
      </c>
      <c r="B22" s="199" t="s">
        <v>760</v>
      </c>
      <c r="C22" s="285">
        <v>31</v>
      </c>
      <c r="D22" s="286">
        <v>0</v>
      </c>
      <c r="E22" s="286">
        <v>5</v>
      </c>
      <c r="F22" s="286">
        <v>2</v>
      </c>
      <c r="G22" s="286">
        <f t="shared" si="0"/>
        <v>7</v>
      </c>
      <c r="H22" s="288">
        <f t="shared" si="1"/>
        <v>7</v>
      </c>
      <c r="I22" s="288">
        <f t="shared" si="2"/>
        <v>24</v>
      </c>
      <c r="J22" s="288">
        <v>24</v>
      </c>
      <c r="K22" s="201"/>
      <c r="L22" s="200"/>
    </row>
    <row r="23" spans="1:12" s="42" customFormat="1" ht="16.5" customHeight="1">
      <c r="A23" s="44"/>
      <c r="B23" s="202" t="s">
        <v>19</v>
      </c>
      <c r="C23" s="291">
        <f aca="true" t="shared" si="3" ref="C23:I23">SUM(C11:C22)</f>
        <v>366</v>
      </c>
      <c r="D23" s="289">
        <f t="shared" si="3"/>
        <v>45</v>
      </c>
      <c r="E23" s="289">
        <f t="shared" si="3"/>
        <v>52</v>
      </c>
      <c r="F23" s="289">
        <f t="shared" si="3"/>
        <v>41</v>
      </c>
      <c r="G23" s="289">
        <f t="shared" si="3"/>
        <v>93</v>
      </c>
      <c r="H23" s="290">
        <f t="shared" si="3"/>
        <v>138</v>
      </c>
      <c r="I23" s="506">
        <f t="shared" si="3"/>
        <v>228</v>
      </c>
      <c r="J23" s="290">
        <v>228</v>
      </c>
      <c r="K23" s="117"/>
      <c r="L23" s="200"/>
    </row>
    <row r="24" spans="2:12" s="42" customFormat="1" ht="11.25" customHeight="1">
      <c r="B24" s="45"/>
      <c r="C24" s="279"/>
      <c r="D24" s="280"/>
      <c r="E24" s="280"/>
      <c r="F24" s="280"/>
      <c r="G24" s="280"/>
      <c r="H24" s="280"/>
      <c r="I24" s="280"/>
      <c r="J24" s="280"/>
      <c r="L24" s="200"/>
    </row>
    <row r="25" spans="1:10" ht="13.5">
      <c r="A25" s="40" t="s">
        <v>111</v>
      </c>
      <c r="B25" s="40"/>
      <c r="C25" s="40"/>
      <c r="D25" s="40"/>
      <c r="E25" s="40"/>
      <c r="F25" s="40"/>
      <c r="G25" s="40"/>
      <c r="H25" s="40"/>
      <c r="I25" s="488"/>
      <c r="J25" s="40"/>
    </row>
    <row r="26" spans="1:10" ht="13.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3.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3.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3.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3.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3.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2" ht="13.5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828" t="s">
        <v>13</v>
      </c>
      <c r="K32" s="828"/>
      <c r="L32" s="828"/>
    </row>
    <row r="33" spans="1:12" ht="15" customHeight="1">
      <c r="A33" s="828" t="s">
        <v>14</v>
      </c>
      <c r="B33" s="828"/>
      <c r="C33" s="828"/>
      <c r="D33" s="828"/>
      <c r="E33" s="828"/>
      <c r="F33" s="828"/>
      <c r="G33" s="828"/>
      <c r="H33" s="828"/>
      <c r="I33" s="828"/>
      <c r="J33" s="828"/>
      <c r="K33" s="828"/>
      <c r="L33" s="828"/>
    </row>
    <row r="34" spans="1:12" ht="15" customHeight="1">
      <c r="A34" s="828" t="s">
        <v>20</v>
      </c>
      <c r="B34" s="828"/>
      <c r="C34" s="828"/>
      <c r="D34" s="828"/>
      <c r="E34" s="828"/>
      <c r="F34" s="828"/>
      <c r="G34" s="828"/>
      <c r="H34" s="828"/>
      <c r="I34" s="828"/>
      <c r="J34" s="828"/>
      <c r="K34" s="828"/>
      <c r="L34" s="828"/>
    </row>
    <row r="35" spans="1:12" ht="13.5">
      <c r="A35" s="40"/>
      <c r="B35" s="40"/>
      <c r="C35" s="40"/>
      <c r="D35" s="40"/>
      <c r="E35" s="40"/>
      <c r="F35" s="40"/>
      <c r="G35" s="40"/>
      <c r="H35" s="551" t="s">
        <v>86</v>
      </c>
      <c r="I35" s="551"/>
      <c r="J35" s="551"/>
      <c r="K35" s="551"/>
      <c r="L35" s="551"/>
    </row>
  </sheetData>
  <sheetProtection/>
  <mergeCells count="20">
    <mergeCell ref="C1:H1"/>
    <mergeCell ref="J1:K1"/>
    <mergeCell ref="A3:K3"/>
    <mergeCell ref="A2:K2"/>
    <mergeCell ref="A6:B6"/>
    <mergeCell ref="L7:L9"/>
    <mergeCell ref="A5:K5"/>
    <mergeCell ref="A7:A9"/>
    <mergeCell ref="B7:B9"/>
    <mergeCell ref="C7:C9"/>
    <mergeCell ref="J32:L32"/>
    <mergeCell ref="A33:L33"/>
    <mergeCell ref="A34:L34"/>
    <mergeCell ref="H35:L35"/>
    <mergeCell ref="K7:K9"/>
    <mergeCell ref="D8:D9"/>
    <mergeCell ref="E8:G8"/>
    <mergeCell ref="I7:I9"/>
    <mergeCell ref="D7:H7"/>
    <mergeCell ref="J7:J9"/>
  </mergeCells>
  <printOptions horizontalCentered="1"/>
  <pageMargins left="0.708661417322835" right="0.708661417322835" top="1.02362204724409" bottom="0.19687500000000002" header="0.708661417322835" footer="0.31496062992126"/>
  <pageSetup fitToHeight="1" fitToWidth="1" horizontalDpi="600" verticalDpi="600" orientation="landscape" paperSize="9" scale="8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82" zoomScaleSheetLayoutView="82" zoomScalePageLayoutView="0" workbookViewId="0" topLeftCell="A12">
      <selection activeCell="O16" sqref="O16"/>
    </sheetView>
  </sheetViews>
  <sheetFormatPr defaultColWidth="9.140625" defaultRowHeight="12.75"/>
  <cols>
    <col min="1" max="1" width="4.7109375" style="38" customWidth="1"/>
    <col min="2" max="2" width="14.7109375" style="38" customWidth="1"/>
    <col min="3" max="3" width="11.7109375" style="38" customWidth="1"/>
    <col min="4" max="4" width="12.00390625" style="38" customWidth="1"/>
    <col min="5" max="5" width="11.8515625" style="38" customWidth="1"/>
    <col min="6" max="6" width="18.8515625" style="38" customWidth="1"/>
    <col min="7" max="7" width="10.140625" style="38" customWidth="1"/>
    <col min="8" max="8" width="14.7109375" style="38" customWidth="1"/>
    <col min="9" max="9" width="15.28125" style="38" customWidth="1"/>
    <col min="10" max="10" width="14.7109375" style="38" customWidth="1"/>
    <col min="11" max="11" width="11.8515625" style="38" customWidth="1"/>
    <col min="12" max="16384" width="9.140625" style="38" customWidth="1"/>
  </cols>
  <sheetData>
    <row r="1" spans="3:10" ht="15" customHeight="1">
      <c r="C1" s="551"/>
      <c r="D1" s="551"/>
      <c r="E1" s="551"/>
      <c r="F1" s="551"/>
      <c r="G1" s="551"/>
      <c r="H1" s="551"/>
      <c r="I1" s="103"/>
      <c r="J1" s="30" t="s">
        <v>726</v>
      </c>
    </row>
    <row r="2" spans="1:10" s="41" customFormat="1" ht="19.5" customHeight="1">
      <c r="A2" s="832" t="s">
        <v>0</v>
      </c>
      <c r="B2" s="832"/>
      <c r="C2" s="832"/>
      <c r="D2" s="832"/>
      <c r="E2" s="832"/>
      <c r="F2" s="832"/>
      <c r="G2" s="832"/>
      <c r="H2" s="832"/>
      <c r="I2" s="832"/>
      <c r="J2" s="832"/>
    </row>
    <row r="3" spans="1:10" s="41" customFormat="1" ht="19.5" customHeight="1">
      <c r="A3" s="831" t="s">
        <v>841</v>
      </c>
      <c r="B3" s="831"/>
      <c r="C3" s="831"/>
      <c r="D3" s="831"/>
      <c r="E3" s="831"/>
      <c r="F3" s="831"/>
      <c r="G3" s="831"/>
      <c r="H3" s="831"/>
      <c r="I3" s="831"/>
      <c r="J3" s="831"/>
    </row>
    <row r="4" spans="1:10" s="41" customFormat="1" ht="14.25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s="41" customFormat="1" ht="18" customHeight="1">
      <c r="A5" s="754" t="s">
        <v>902</v>
      </c>
      <c r="B5" s="754"/>
      <c r="C5" s="754"/>
      <c r="D5" s="754"/>
      <c r="E5" s="754"/>
      <c r="F5" s="754"/>
      <c r="G5" s="754"/>
      <c r="H5" s="754"/>
      <c r="I5" s="754"/>
      <c r="J5" s="754"/>
    </row>
    <row r="6" spans="1:10" ht="15">
      <c r="A6" s="579" t="s">
        <v>643</v>
      </c>
      <c r="B6" s="579"/>
      <c r="C6" s="88"/>
      <c r="D6" s="88"/>
      <c r="E6" s="88"/>
      <c r="F6" s="88"/>
      <c r="G6" s="88"/>
      <c r="H6" s="88"/>
      <c r="I6" s="12"/>
      <c r="J6" s="12"/>
    </row>
    <row r="7" spans="1:11" ht="29.25" customHeight="1">
      <c r="A7" s="829" t="s">
        <v>76</v>
      </c>
      <c r="B7" s="829" t="s">
        <v>77</v>
      </c>
      <c r="C7" s="829" t="s">
        <v>78</v>
      </c>
      <c r="D7" s="829" t="s">
        <v>176</v>
      </c>
      <c r="E7" s="829"/>
      <c r="F7" s="829"/>
      <c r="G7" s="829"/>
      <c r="H7" s="829"/>
      <c r="I7" s="600" t="s">
        <v>266</v>
      </c>
      <c r="J7" s="829" t="s">
        <v>79</v>
      </c>
      <c r="K7" s="829" t="s">
        <v>249</v>
      </c>
    </row>
    <row r="8" spans="1:11" ht="33.75" customHeight="1">
      <c r="A8" s="829"/>
      <c r="B8" s="829"/>
      <c r="C8" s="829"/>
      <c r="D8" s="829" t="s">
        <v>81</v>
      </c>
      <c r="E8" s="829" t="s">
        <v>82</v>
      </c>
      <c r="F8" s="829"/>
      <c r="G8" s="829"/>
      <c r="H8" s="600" t="s">
        <v>83</v>
      </c>
      <c r="I8" s="830"/>
      <c r="J8" s="829"/>
      <c r="K8" s="829"/>
    </row>
    <row r="9" spans="1:11" ht="33.75" customHeight="1">
      <c r="A9" s="829"/>
      <c r="B9" s="829"/>
      <c r="C9" s="829"/>
      <c r="D9" s="829"/>
      <c r="E9" s="39" t="s">
        <v>84</v>
      </c>
      <c r="F9" s="39" t="s">
        <v>85</v>
      </c>
      <c r="G9" s="39" t="s">
        <v>19</v>
      </c>
      <c r="H9" s="601"/>
      <c r="I9" s="601"/>
      <c r="J9" s="829"/>
      <c r="K9" s="829"/>
    </row>
    <row r="10" spans="1:11" s="42" customFormat="1" ht="16.5" customHeigh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</row>
    <row r="11" spans="1:11" ht="16.5" customHeight="1">
      <c r="A11" s="43">
        <v>1</v>
      </c>
      <c r="B11" s="199" t="s">
        <v>749</v>
      </c>
      <c r="C11" s="287">
        <v>30</v>
      </c>
      <c r="D11" s="288">
        <v>0</v>
      </c>
      <c r="E11" s="288">
        <v>4</v>
      </c>
      <c r="F11" s="288">
        <v>2</v>
      </c>
      <c r="G11" s="288">
        <f aca="true" t="shared" si="0" ref="G11:G22">SUM(E11:F11)</f>
        <v>6</v>
      </c>
      <c r="H11" s="288">
        <f aca="true" t="shared" si="1" ref="H11:H22">D11+G11</f>
        <v>6</v>
      </c>
      <c r="I11" s="288">
        <f aca="true" t="shared" si="2" ref="I11:I22">C11-H11</f>
        <v>24</v>
      </c>
      <c r="J11" s="288">
        <v>24</v>
      </c>
      <c r="K11" s="200"/>
    </row>
    <row r="12" spans="1:11" ht="16.5" customHeight="1">
      <c r="A12" s="43">
        <v>2</v>
      </c>
      <c r="B12" s="199" t="s">
        <v>750</v>
      </c>
      <c r="C12" s="287">
        <v>31</v>
      </c>
      <c r="D12" s="288">
        <v>0</v>
      </c>
      <c r="E12" s="288">
        <v>4</v>
      </c>
      <c r="F12" s="288">
        <v>2</v>
      </c>
      <c r="G12" s="288">
        <f t="shared" si="0"/>
        <v>6</v>
      </c>
      <c r="H12" s="288">
        <f t="shared" si="1"/>
        <v>6</v>
      </c>
      <c r="I12" s="288">
        <f t="shared" si="2"/>
        <v>25</v>
      </c>
      <c r="J12" s="288">
        <v>25</v>
      </c>
      <c r="K12" s="200"/>
    </row>
    <row r="13" spans="1:11" ht="16.5" customHeight="1">
      <c r="A13" s="43">
        <v>3</v>
      </c>
      <c r="B13" s="199" t="s">
        <v>751</v>
      </c>
      <c r="C13" s="287">
        <v>30</v>
      </c>
      <c r="D13" s="288">
        <v>3</v>
      </c>
      <c r="E13" s="288">
        <v>5</v>
      </c>
      <c r="F13" s="288">
        <v>3</v>
      </c>
      <c r="G13" s="288">
        <f t="shared" si="0"/>
        <v>8</v>
      </c>
      <c r="H13" s="288">
        <f t="shared" si="1"/>
        <v>11</v>
      </c>
      <c r="I13" s="288">
        <f t="shared" si="2"/>
        <v>19</v>
      </c>
      <c r="J13" s="288">
        <v>19</v>
      </c>
      <c r="K13" s="200"/>
    </row>
    <row r="14" spans="1:11" ht="16.5" customHeight="1">
      <c r="A14" s="43">
        <v>4</v>
      </c>
      <c r="B14" s="199" t="s">
        <v>752</v>
      </c>
      <c r="C14" s="287">
        <v>31</v>
      </c>
      <c r="D14" s="288">
        <v>17</v>
      </c>
      <c r="E14" s="288">
        <v>4</v>
      </c>
      <c r="F14" s="288">
        <v>1</v>
      </c>
      <c r="G14" s="288">
        <f t="shared" si="0"/>
        <v>5</v>
      </c>
      <c r="H14" s="288">
        <f t="shared" si="1"/>
        <v>22</v>
      </c>
      <c r="I14" s="288">
        <f t="shared" si="2"/>
        <v>9</v>
      </c>
      <c r="J14" s="288">
        <v>9</v>
      </c>
      <c r="K14" s="200"/>
    </row>
    <row r="15" spans="1:11" ht="16.5" customHeight="1">
      <c r="A15" s="43">
        <v>5</v>
      </c>
      <c r="B15" s="199" t="s">
        <v>753</v>
      </c>
      <c r="C15" s="287">
        <v>31</v>
      </c>
      <c r="D15" s="288">
        <v>0</v>
      </c>
      <c r="E15" s="288">
        <v>4</v>
      </c>
      <c r="F15" s="288">
        <v>4</v>
      </c>
      <c r="G15" s="288">
        <f t="shared" si="0"/>
        <v>8</v>
      </c>
      <c r="H15" s="288">
        <f t="shared" si="1"/>
        <v>8</v>
      </c>
      <c r="I15" s="288">
        <f t="shared" si="2"/>
        <v>23</v>
      </c>
      <c r="J15" s="288">
        <v>23</v>
      </c>
      <c r="K15" s="200"/>
    </row>
    <row r="16" spans="1:11" s="42" customFormat="1" ht="16.5" customHeight="1">
      <c r="A16" s="43">
        <v>6</v>
      </c>
      <c r="B16" s="199" t="s">
        <v>754</v>
      </c>
      <c r="C16" s="285">
        <v>30</v>
      </c>
      <c r="D16" s="286">
        <v>0</v>
      </c>
      <c r="E16" s="286">
        <v>5</v>
      </c>
      <c r="F16" s="286">
        <v>2</v>
      </c>
      <c r="G16" s="286">
        <f t="shared" si="0"/>
        <v>7</v>
      </c>
      <c r="H16" s="288">
        <f t="shared" si="1"/>
        <v>7</v>
      </c>
      <c r="I16" s="288">
        <f t="shared" si="2"/>
        <v>23</v>
      </c>
      <c r="J16" s="288">
        <v>23</v>
      </c>
      <c r="K16" s="201"/>
    </row>
    <row r="17" spans="1:11" s="42" customFormat="1" ht="16.5" customHeight="1">
      <c r="A17" s="43">
        <v>7</v>
      </c>
      <c r="B17" s="199" t="s">
        <v>755</v>
      </c>
      <c r="C17" s="285">
        <v>31</v>
      </c>
      <c r="D17" s="286">
        <v>0</v>
      </c>
      <c r="E17" s="286">
        <v>4</v>
      </c>
      <c r="F17" s="286">
        <v>10</v>
      </c>
      <c r="G17" s="286">
        <f t="shared" si="0"/>
        <v>14</v>
      </c>
      <c r="H17" s="288">
        <f t="shared" si="1"/>
        <v>14</v>
      </c>
      <c r="I17" s="288">
        <f t="shared" si="2"/>
        <v>17</v>
      </c>
      <c r="J17" s="288">
        <v>17</v>
      </c>
      <c r="K17" s="201"/>
    </row>
    <row r="18" spans="1:11" s="42" customFormat="1" ht="16.5" customHeight="1">
      <c r="A18" s="43">
        <v>8</v>
      </c>
      <c r="B18" s="199" t="s">
        <v>756</v>
      </c>
      <c r="C18" s="285">
        <v>30</v>
      </c>
      <c r="D18" s="286">
        <v>0</v>
      </c>
      <c r="E18" s="286">
        <v>4</v>
      </c>
      <c r="F18" s="286">
        <v>2</v>
      </c>
      <c r="G18" s="286">
        <f t="shared" si="0"/>
        <v>6</v>
      </c>
      <c r="H18" s="288">
        <f t="shared" si="1"/>
        <v>6</v>
      </c>
      <c r="I18" s="288">
        <f t="shared" si="2"/>
        <v>24</v>
      </c>
      <c r="J18" s="288">
        <v>24</v>
      </c>
      <c r="K18" s="201"/>
    </row>
    <row r="19" spans="1:11" s="42" customFormat="1" ht="16.5" customHeight="1">
      <c r="A19" s="43">
        <v>9</v>
      </c>
      <c r="B19" s="199" t="s">
        <v>757</v>
      </c>
      <c r="C19" s="285">
        <v>31</v>
      </c>
      <c r="D19" s="286">
        <v>0</v>
      </c>
      <c r="E19" s="286">
        <v>5</v>
      </c>
      <c r="F19" s="286">
        <v>8</v>
      </c>
      <c r="G19" s="286">
        <f t="shared" si="0"/>
        <v>13</v>
      </c>
      <c r="H19" s="288">
        <f t="shared" si="1"/>
        <v>13</v>
      </c>
      <c r="I19" s="288">
        <f t="shared" si="2"/>
        <v>18</v>
      </c>
      <c r="J19" s="288">
        <v>18</v>
      </c>
      <c r="K19" s="201"/>
    </row>
    <row r="20" spans="1:11" s="42" customFormat="1" ht="16.5" customHeight="1">
      <c r="A20" s="43">
        <v>10</v>
      </c>
      <c r="B20" s="199" t="s">
        <v>758</v>
      </c>
      <c r="C20" s="285">
        <v>31</v>
      </c>
      <c r="D20" s="286">
        <v>24</v>
      </c>
      <c r="E20" s="286">
        <v>4</v>
      </c>
      <c r="F20" s="286">
        <v>3</v>
      </c>
      <c r="G20" s="286">
        <f t="shared" si="0"/>
        <v>7</v>
      </c>
      <c r="H20" s="288">
        <f t="shared" si="1"/>
        <v>31</v>
      </c>
      <c r="I20" s="288">
        <f t="shared" si="2"/>
        <v>0</v>
      </c>
      <c r="J20" s="288">
        <v>0</v>
      </c>
      <c r="K20" s="201"/>
    </row>
    <row r="21" spans="1:11" s="42" customFormat="1" ht="16.5" customHeight="1">
      <c r="A21" s="43">
        <v>11</v>
      </c>
      <c r="B21" s="199" t="s">
        <v>759</v>
      </c>
      <c r="C21" s="285">
        <v>29</v>
      </c>
      <c r="D21" s="286">
        <v>1</v>
      </c>
      <c r="E21" s="286">
        <v>4</v>
      </c>
      <c r="F21" s="286">
        <v>2</v>
      </c>
      <c r="G21" s="286">
        <f t="shared" si="0"/>
        <v>6</v>
      </c>
      <c r="H21" s="288">
        <f t="shared" si="1"/>
        <v>7</v>
      </c>
      <c r="I21" s="288">
        <f t="shared" si="2"/>
        <v>22</v>
      </c>
      <c r="J21" s="288">
        <v>22</v>
      </c>
      <c r="K21" s="201"/>
    </row>
    <row r="22" spans="1:11" s="42" customFormat="1" ht="16.5" customHeight="1">
      <c r="A22" s="43">
        <v>12</v>
      </c>
      <c r="B22" s="199" t="s">
        <v>760</v>
      </c>
      <c r="C22" s="285">
        <v>31</v>
      </c>
      <c r="D22" s="286">
        <v>0</v>
      </c>
      <c r="E22" s="286">
        <v>5</v>
      </c>
      <c r="F22" s="286">
        <v>2</v>
      </c>
      <c r="G22" s="286">
        <f t="shared" si="0"/>
        <v>7</v>
      </c>
      <c r="H22" s="288">
        <f t="shared" si="1"/>
        <v>7</v>
      </c>
      <c r="I22" s="288">
        <f t="shared" si="2"/>
        <v>24</v>
      </c>
      <c r="J22" s="288">
        <v>24</v>
      </c>
      <c r="K22" s="201"/>
    </row>
    <row r="23" spans="1:11" s="42" customFormat="1" ht="16.5" customHeight="1">
      <c r="A23" s="44"/>
      <c r="B23" s="202" t="s">
        <v>19</v>
      </c>
      <c r="C23" s="291">
        <f aca="true" t="shared" si="3" ref="C23:J23">SUM(C11:C22)</f>
        <v>366</v>
      </c>
      <c r="D23" s="289">
        <f t="shared" si="3"/>
        <v>45</v>
      </c>
      <c r="E23" s="289">
        <f t="shared" si="3"/>
        <v>52</v>
      </c>
      <c r="F23" s="289">
        <f t="shared" si="3"/>
        <v>41</v>
      </c>
      <c r="G23" s="289">
        <f t="shared" si="3"/>
        <v>93</v>
      </c>
      <c r="H23" s="290">
        <f t="shared" si="3"/>
        <v>138</v>
      </c>
      <c r="I23" s="290">
        <f t="shared" si="3"/>
        <v>228</v>
      </c>
      <c r="J23" s="290">
        <f t="shared" si="3"/>
        <v>228</v>
      </c>
      <c r="K23" s="117"/>
    </row>
    <row r="24" spans="2:3" s="42" customFormat="1" ht="11.25" customHeight="1">
      <c r="B24" s="45"/>
      <c r="C24" s="41"/>
    </row>
    <row r="25" spans="1:10" ht="13.5">
      <c r="A25" s="40" t="s">
        <v>111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3.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3.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3.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3.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3.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3.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ht="13.5">
      <c r="D32" s="38" t="s">
        <v>11</v>
      </c>
    </row>
    <row r="33" spans="1:11" ht="13.5">
      <c r="A33" s="40" t="s">
        <v>12</v>
      </c>
      <c r="B33" s="40"/>
      <c r="C33" s="40"/>
      <c r="D33" s="40"/>
      <c r="E33" s="40"/>
      <c r="F33" s="40"/>
      <c r="G33" s="40"/>
      <c r="H33" s="40"/>
      <c r="I33" s="40"/>
      <c r="J33" s="828" t="s">
        <v>13</v>
      </c>
      <c r="K33" s="828"/>
    </row>
    <row r="34" spans="1:11" ht="15" customHeight="1">
      <c r="A34" s="828" t="s">
        <v>14</v>
      </c>
      <c r="B34" s="828"/>
      <c r="C34" s="828"/>
      <c r="D34" s="828"/>
      <c r="E34" s="828"/>
      <c r="F34" s="828"/>
      <c r="G34" s="828"/>
      <c r="H34" s="828"/>
      <c r="I34" s="828"/>
      <c r="J34" s="828"/>
      <c r="K34" s="828"/>
    </row>
    <row r="35" spans="1:11" ht="15" customHeight="1">
      <c r="A35" s="828" t="s">
        <v>20</v>
      </c>
      <c r="B35" s="828"/>
      <c r="C35" s="828"/>
      <c r="D35" s="828"/>
      <c r="E35" s="828"/>
      <c r="F35" s="828"/>
      <c r="G35" s="828"/>
      <c r="H35" s="828"/>
      <c r="I35" s="828"/>
      <c r="J35" s="828"/>
      <c r="K35" s="828"/>
    </row>
    <row r="36" spans="1:11" ht="13.5">
      <c r="A36" s="40"/>
      <c r="B36" s="40"/>
      <c r="C36" s="40"/>
      <c r="D36" s="40"/>
      <c r="E36" s="40"/>
      <c r="F36" s="40"/>
      <c r="G36" s="40"/>
      <c r="H36" s="551" t="s">
        <v>86</v>
      </c>
      <c r="I36" s="551"/>
      <c r="J36" s="551"/>
      <c r="K36" s="551"/>
    </row>
  </sheetData>
  <sheetProtection/>
  <mergeCells count="19">
    <mergeCell ref="C1:H1"/>
    <mergeCell ref="A2:J2"/>
    <mergeCell ref="A3:J3"/>
    <mergeCell ref="A5:J5"/>
    <mergeCell ref="A6:B6"/>
    <mergeCell ref="A7:A9"/>
    <mergeCell ref="B7:B9"/>
    <mergeCell ref="C7:C9"/>
    <mergeCell ref="D7:H7"/>
    <mergeCell ref="J7:J9"/>
    <mergeCell ref="J33:K33"/>
    <mergeCell ref="A34:K34"/>
    <mergeCell ref="A35:K35"/>
    <mergeCell ref="H36:K36"/>
    <mergeCell ref="K7:K9"/>
    <mergeCell ref="H8:H9"/>
    <mergeCell ref="D8:D9"/>
    <mergeCell ref="E8:G8"/>
    <mergeCell ref="I7:I9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2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T34"/>
  <sheetViews>
    <sheetView zoomScale="90" zoomScaleNormal="90" zoomScalePageLayoutView="0" workbookViewId="0" topLeftCell="A4">
      <selection activeCell="C11" sqref="C11:G15"/>
    </sheetView>
  </sheetViews>
  <sheetFormatPr defaultColWidth="9.140625" defaultRowHeight="12.75"/>
  <cols>
    <col min="3" max="3" width="9.421875" style="0" bestFit="1" customWidth="1"/>
    <col min="4" max="6" width="8.8515625" style="0" bestFit="1" customWidth="1"/>
    <col min="9" max="9" width="12.421875" style="0" bestFit="1" customWidth="1"/>
  </cols>
  <sheetData>
    <row r="1" spans="1:18" ht="15">
      <c r="A1" s="166"/>
      <c r="B1" s="166"/>
      <c r="C1" s="166"/>
      <c r="D1" s="166"/>
      <c r="E1" s="166"/>
      <c r="F1" s="166"/>
      <c r="G1" s="837"/>
      <c r="H1" s="837"/>
      <c r="I1" s="837"/>
      <c r="J1" s="166"/>
      <c r="K1" s="166"/>
      <c r="L1" s="166"/>
      <c r="M1" s="166"/>
      <c r="N1" s="166"/>
      <c r="O1" s="166"/>
      <c r="P1" s="166"/>
      <c r="Q1" s="838" t="s">
        <v>727</v>
      </c>
      <c r="R1" s="838"/>
    </row>
    <row r="2" spans="1:18" ht="15">
      <c r="A2" s="839" t="s">
        <v>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</row>
    <row r="3" spans="1:18" ht="18">
      <c r="A3" s="840" t="s">
        <v>841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</row>
    <row r="4" spans="1:18" ht="12">
      <c r="A4" s="841" t="s">
        <v>903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</row>
    <row r="5" spans="1:18" ht="12">
      <c r="A5" s="841"/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</row>
    <row r="6" spans="1:18" ht="12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</row>
    <row r="7" spans="1:18" ht="12.75">
      <c r="A7" s="844" t="s">
        <v>643</v>
      </c>
      <c r="B7" s="844"/>
      <c r="C7" s="166"/>
      <c r="D7" s="166"/>
      <c r="E7" s="166"/>
      <c r="F7" s="166"/>
      <c r="G7" s="166"/>
      <c r="H7" s="169"/>
      <c r="I7" s="166"/>
      <c r="J7" s="166"/>
      <c r="K7" s="166"/>
      <c r="L7" s="843"/>
      <c r="M7" s="843"/>
      <c r="N7" s="843"/>
      <c r="O7" s="843"/>
      <c r="P7" s="843"/>
      <c r="Q7" s="843"/>
      <c r="R7" s="843"/>
    </row>
    <row r="8" spans="1:20" ht="57" customHeight="1">
      <c r="A8" s="677" t="s">
        <v>2</v>
      </c>
      <c r="B8" s="677" t="s">
        <v>3</v>
      </c>
      <c r="C8" s="808" t="s">
        <v>532</v>
      </c>
      <c r="D8" s="809"/>
      <c r="E8" s="809"/>
      <c r="F8" s="809"/>
      <c r="G8" s="810"/>
      <c r="H8" s="845" t="s">
        <v>87</v>
      </c>
      <c r="I8" s="698" t="s">
        <v>88</v>
      </c>
      <c r="J8" s="699"/>
      <c r="K8" s="699"/>
      <c r="L8" s="847"/>
      <c r="M8" s="698" t="s">
        <v>767</v>
      </c>
      <c r="N8" s="699"/>
      <c r="O8" s="699"/>
      <c r="P8" s="699"/>
      <c r="Q8" s="699"/>
      <c r="R8" s="699"/>
      <c r="S8" s="808" t="s">
        <v>832</v>
      </c>
      <c r="T8" s="810"/>
    </row>
    <row r="9" spans="1:20" ht="64.5">
      <c r="A9" s="677"/>
      <c r="B9" s="677"/>
      <c r="C9" s="170" t="s">
        <v>5</v>
      </c>
      <c r="D9" s="170" t="s">
        <v>6</v>
      </c>
      <c r="E9" s="170" t="s">
        <v>381</v>
      </c>
      <c r="F9" s="171" t="s">
        <v>105</v>
      </c>
      <c r="G9" s="171" t="s">
        <v>250</v>
      </c>
      <c r="H9" s="846"/>
      <c r="I9" s="170" t="s">
        <v>201</v>
      </c>
      <c r="J9" s="170" t="s">
        <v>121</v>
      </c>
      <c r="K9" s="170" t="s">
        <v>122</v>
      </c>
      <c r="L9" s="170" t="s">
        <v>477</v>
      </c>
      <c r="M9" s="170" t="s">
        <v>19</v>
      </c>
      <c r="N9" s="170" t="s">
        <v>774</v>
      </c>
      <c r="O9" s="170" t="s">
        <v>775</v>
      </c>
      <c r="P9" s="170" t="s">
        <v>776</v>
      </c>
      <c r="Q9" s="170" t="s">
        <v>771</v>
      </c>
      <c r="R9" s="170" t="s">
        <v>772</v>
      </c>
      <c r="S9" s="170" t="s">
        <v>833</v>
      </c>
      <c r="T9" s="170" t="s">
        <v>834</v>
      </c>
    </row>
    <row r="10" spans="1:20" ht="12.75">
      <c r="A10" s="170">
        <v>1</v>
      </c>
      <c r="B10" s="170">
        <v>2</v>
      </c>
      <c r="C10" s="170">
        <v>3</v>
      </c>
      <c r="D10" s="170">
        <v>4</v>
      </c>
      <c r="E10" s="170">
        <v>5</v>
      </c>
      <c r="F10" s="170">
        <v>6</v>
      </c>
      <c r="G10" s="170">
        <v>7</v>
      </c>
      <c r="H10" s="170">
        <v>8</v>
      </c>
      <c r="I10" s="170">
        <v>9</v>
      </c>
      <c r="J10" s="170">
        <v>10</v>
      </c>
      <c r="K10" s="170">
        <v>11</v>
      </c>
      <c r="L10" s="170">
        <v>12</v>
      </c>
      <c r="M10" s="170">
        <v>13</v>
      </c>
      <c r="N10" s="170">
        <v>14</v>
      </c>
      <c r="O10" s="170">
        <v>15</v>
      </c>
      <c r="P10" s="170">
        <v>16</v>
      </c>
      <c r="Q10" s="170">
        <v>17</v>
      </c>
      <c r="R10" s="170">
        <v>18</v>
      </c>
      <c r="S10" s="170">
        <v>19</v>
      </c>
      <c r="T10" s="170">
        <v>20</v>
      </c>
    </row>
    <row r="11" spans="1:20" ht="26.25" customHeight="1">
      <c r="A11" s="219">
        <v>1</v>
      </c>
      <c r="B11" s="219" t="s">
        <v>632</v>
      </c>
      <c r="C11" s="493">
        <v>10583.357142857143</v>
      </c>
      <c r="D11" s="493">
        <v>901.0535714285714</v>
      </c>
      <c r="E11" s="493">
        <v>120.49553571428571</v>
      </c>
      <c r="F11" s="493">
        <v>0</v>
      </c>
      <c r="G11" s="493">
        <f>SUM(C11:F11)</f>
        <v>11604.90625</v>
      </c>
      <c r="H11" s="341">
        <v>228</v>
      </c>
      <c r="I11" s="262">
        <f>G11*H11*0.0001</f>
        <v>264.5918625</v>
      </c>
      <c r="J11" s="262">
        <f>G11*H11*0.0001</f>
        <v>264.5918625</v>
      </c>
      <c r="K11" s="266">
        <v>0</v>
      </c>
      <c r="L11" s="266">
        <v>0</v>
      </c>
      <c r="M11" s="262">
        <v>0</v>
      </c>
      <c r="N11" s="262"/>
      <c r="O11" s="262"/>
      <c r="P11" s="219"/>
      <c r="Q11" s="328"/>
      <c r="R11" s="328"/>
      <c r="S11" s="395"/>
      <c r="T11" s="395">
        <f>J11*0.0182</f>
        <v>4.8155718975</v>
      </c>
    </row>
    <row r="12" spans="1:20" ht="24.75" customHeight="1">
      <c r="A12" s="219">
        <v>2</v>
      </c>
      <c r="B12" s="219" t="s">
        <v>633</v>
      </c>
      <c r="C12" s="493">
        <v>6951.160714285715</v>
      </c>
      <c r="D12" s="493">
        <v>288.75892857142856</v>
      </c>
      <c r="E12" s="493">
        <v>17.875</v>
      </c>
      <c r="F12" s="493">
        <v>0</v>
      </c>
      <c r="G12" s="493">
        <f>SUM(C12:F12)</f>
        <v>7257.794642857143</v>
      </c>
      <c r="H12" s="341">
        <v>228</v>
      </c>
      <c r="I12" s="262">
        <f>G12*H12*0.0001</f>
        <v>165.47771785714286</v>
      </c>
      <c r="J12" s="262">
        <f>G12*H12*0.0001</f>
        <v>165.47771785714286</v>
      </c>
      <c r="K12" s="266">
        <v>0</v>
      </c>
      <c r="L12" s="266">
        <v>0</v>
      </c>
      <c r="M12" s="262">
        <v>0</v>
      </c>
      <c r="N12" s="834" t="s">
        <v>631</v>
      </c>
      <c r="O12" s="835"/>
      <c r="P12" s="835"/>
      <c r="Q12" s="836"/>
      <c r="R12" s="328"/>
      <c r="S12" s="395"/>
      <c r="T12" s="395">
        <f>J12*0.0182</f>
        <v>3.011694465</v>
      </c>
    </row>
    <row r="13" spans="1:20" ht="24.75" customHeight="1">
      <c r="A13" s="219">
        <v>3</v>
      </c>
      <c r="B13" s="219" t="s">
        <v>634</v>
      </c>
      <c r="C13" s="493">
        <v>2243.7723214285716</v>
      </c>
      <c r="D13" s="493">
        <v>198.23660714285714</v>
      </c>
      <c r="E13" s="493">
        <v>0</v>
      </c>
      <c r="F13" s="493">
        <v>0</v>
      </c>
      <c r="G13" s="493">
        <f>SUM(C13:F13)</f>
        <v>2442.008928571429</v>
      </c>
      <c r="H13" s="341">
        <v>228</v>
      </c>
      <c r="I13" s="262">
        <f>G13*H13*0.0001</f>
        <v>55.67780357142858</v>
      </c>
      <c r="J13" s="262">
        <f>G13*H13*0.0001</f>
        <v>55.67780357142858</v>
      </c>
      <c r="K13" s="266">
        <v>0</v>
      </c>
      <c r="L13" s="266">
        <v>0</v>
      </c>
      <c r="M13" s="262">
        <v>0</v>
      </c>
      <c r="N13" s="262"/>
      <c r="O13" s="262"/>
      <c r="P13" s="219"/>
      <c r="Q13" s="328"/>
      <c r="R13" s="328"/>
      <c r="S13" s="395"/>
      <c r="T13" s="395">
        <f>J13*0.0182</f>
        <v>1.0133360250000003</v>
      </c>
    </row>
    <row r="14" spans="1:20" ht="29.25" customHeight="1">
      <c r="A14" s="219">
        <v>4</v>
      </c>
      <c r="B14" s="219" t="s">
        <v>635</v>
      </c>
      <c r="C14" s="493">
        <v>7765.223214285715</v>
      </c>
      <c r="D14" s="493">
        <v>425.625</v>
      </c>
      <c r="E14" s="493">
        <v>77.8125</v>
      </c>
      <c r="F14" s="493">
        <v>0</v>
      </c>
      <c r="G14" s="493">
        <f>SUM(C14:F14)</f>
        <v>8268.660714285714</v>
      </c>
      <c r="H14" s="341">
        <v>228</v>
      </c>
      <c r="I14" s="262">
        <f>G14*H14*0.0001</f>
        <v>188.5254642857143</v>
      </c>
      <c r="J14" s="262">
        <f>G14*H14*0.0001</f>
        <v>188.5254642857143</v>
      </c>
      <c r="K14" s="266">
        <v>0</v>
      </c>
      <c r="L14" s="266">
        <v>0</v>
      </c>
      <c r="M14" s="262">
        <v>0</v>
      </c>
      <c r="N14" s="262"/>
      <c r="O14" s="262"/>
      <c r="P14" s="219"/>
      <c r="Q14" s="328"/>
      <c r="R14" s="328"/>
      <c r="S14" s="395"/>
      <c r="T14" s="395">
        <f>J14*0.0182</f>
        <v>3.43116345</v>
      </c>
    </row>
    <row r="15" spans="1:20" ht="28.5" customHeight="1">
      <c r="A15" s="316" t="s">
        <v>7</v>
      </c>
      <c r="B15" s="315" t="s">
        <v>19</v>
      </c>
      <c r="C15" s="498">
        <f>SUM(C11:C14)</f>
        <v>27543.513392857145</v>
      </c>
      <c r="D15" s="498">
        <f>SUM(D11:D14)</f>
        <v>1813.674107142857</v>
      </c>
      <c r="E15" s="498">
        <f>SUM(E11:E14)</f>
        <v>216.18303571428572</v>
      </c>
      <c r="F15" s="495">
        <f>SUM(F11:F14)</f>
        <v>0</v>
      </c>
      <c r="G15" s="495">
        <f>SUM(C15:F15)</f>
        <v>29573.37053571429</v>
      </c>
      <c r="H15" s="383">
        <v>228</v>
      </c>
      <c r="I15" s="263">
        <f>SUM(I11:I14)</f>
        <v>674.2728482142857</v>
      </c>
      <c r="J15" s="317">
        <f>SUM(J11:J14)</f>
        <v>674.2728482142857</v>
      </c>
      <c r="K15" s="318">
        <f>SUM(K11:K14)</f>
        <v>0</v>
      </c>
      <c r="L15" s="318">
        <f>SUM(L11:L14)</f>
        <v>0</v>
      </c>
      <c r="M15" s="262">
        <v>0</v>
      </c>
      <c r="N15" s="263"/>
      <c r="O15" s="263"/>
      <c r="P15" s="204"/>
      <c r="Q15" s="329"/>
      <c r="R15" s="328"/>
      <c r="S15" s="395"/>
      <c r="T15" s="396">
        <f>J15*0.0182</f>
        <v>12.2717658375</v>
      </c>
    </row>
    <row r="16" spans="1:18" ht="12">
      <c r="A16" s="322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</row>
    <row r="17" spans="1:20" ht="12">
      <c r="A17" s="320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T17" s="394"/>
    </row>
    <row r="18" spans="1:18" ht="12">
      <c r="A18" s="320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8" ht="12">
      <c r="A19" s="320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</row>
    <row r="20" spans="1:18" ht="12">
      <c r="A20" s="320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ht="12">
      <c r="A21" s="320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8" ht="12">
      <c r="A22" s="321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1:18" ht="12">
      <c r="A23" s="321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</row>
    <row r="24" spans="1:18" ht="12">
      <c r="A24" s="321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</row>
    <row r="25" spans="1:18" ht="12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</row>
    <row r="26" spans="1:18" ht="12.75">
      <c r="A26" s="174" t="s">
        <v>8</v>
      </c>
      <c r="B26" s="175"/>
      <c r="C26" s="17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</row>
    <row r="27" spans="1:18" ht="12.75">
      <c r="A27" s="175" t="s">
        <v>9</v>
      </c>
      <c r="B27" s="175"/>
      <c r="C27" s="17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</row>
    <row r="28" spans="1:18" ht="12.75">
      <c r="A28" s="175" t="s">
        <v>10</v>
      </c>
      <c r="B28" s="175"/>
      <c r="C28" s="175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8" ht="12.75">
      <c r="A29" s="175"/>
      <c r="B29" s="175"/>
      <c r="C29" s="175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</row>
    <row r="30" spans="1:18" ht="12.75">
      <c r="A30" s="175"/>
      <c r="B30" s="175"/>
      <c r="C30" s="17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</row>
    <row r="31" spans="1:18" ht="12.75">
      <c r="A31" s="175" t="s">
        <v>12</v>
      </c>
      <c r="B31" s="166"/>
      <c r="C31" s="166"/>
      <c r="D31" s="166"/>
      <c r="E31" s="166"/>
      <c r="F31" s="166"/>
      <c r="G31" s="166"/>
      <c r="H31" s="175"/>
      <c r="I31" s="166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1:18" ht="12.75">
      <c r="A32" s="166"/>
      <c r="B32" s="166"/>
      <c r="C32" s="166"/>
      <c r="D32" s="166"/>
      <c r="E32" s="166"/>
      <c r="F32" s="166"/>
      <c r="G32" s="166"/>
      <c r="H32" s="166"/>
      <c r="I32" s="175"/>
      <c r="J32" s="843" t="s">
        <v>14</v>
      </c>
      <c r="K32" s="843"/>
      <c r="L32" s="843"/>
      <c r="M32" s="843"/>
      <c r="N32" s="843"/>
      <c r="O32" s="843"/>
      <c r="P32" s="843"/>
      <c r="Q32" s="843"/>
      <c r="R32" s="843"/>
    </row>
    <row r="33" spans="1:18" ht="12.75">
      <c r="A33" s="166"/>
      <c r="B33" s="166"/>
      <c r="C33" s="166"/>
      <c r="D33" s="166"/>
      <c r="E33" s="166"/>
      <c r="F33" s="166"/>
      <c r="G33" s="166"/>
      <c r="H33" s="166"/>
      <c r="I33" s="843" t="s">
        <v>89</v>
      </c>
      <c r="J33" s="843"/>
      <c r="K33" s="843"/>
      <c r="L33" s="843"/>
      <c r="M33" s="843"/>
      <c r="N33" s="843"/>
      <c r="O33" s="843"/>
      <c r="P33" s="843"/>
      <c r="Q33" s="843"/>
      <c r="R33" s="843"/>
    </row>
    <row r="34" spans="1:18" ht="12.75">
      <c r="A34" s="175"/>
      <c r="B34" s="175"/>
      <c r="C34" s="166"/>
      <c r="D34" s="166"/>
      <c r="E34" s="166"/>
      <c r="F34" s="166"/>
      <c r="G34" s="166"/>
      <c r="H34" s="166"/>
      <c r="I34" s="166"/>
      <c r="J34" s="175"/>
      <c r="K34" s="175"/>
      <c r="L34" s="175"/>
      <c r="M34" s="175"/>
      <c r="N34" s="175"/>
      <c r="O34" s="175"/>
      <c r="P34" s="175"/>
      <c r="Q34" s="175"/>
      <c r="R34" s="175"/>
    </row>
  </sheetData>
  <sheetProtection/>
  <mergeCells count="18">
    <mergeCell ref="S8:T8"/>
    <mergeCell ref="J32:R32"/>
    <mergeCell ref="I33:R33"/>
    <mergeCell ref="A7:B7"/>
    <mergeCell ref="L7:R7"/>
    <mergeCell ref="A8:A9"/>
    <mergeCell ref="B8:B9"/>
    <mergeCell ref="C8:G8"/>
    <mergeCell ref="H8:H9"/>
    <mergeCell ref="I8:L8"/>
    <mergeCell ref="M8:R8"/>
    <mergeCell ref="N12:Q12"/>
    <mergeCell ref="G1:I1"/>
    <mergeCell ref="Q1:R1"/>
    <mergeCell ref="A2:R2"/>
    <mergeCell ref="A3:R3"/>
    <mergeCell ref="A4:R5"/>
    <mergeCell ref="A6:R6"/>
  </mergeCells>
  <printOptions horizontalCentered="1"/>
  <pageMargins left="0.708661417322835" right="0.708661417322835" top="1.53543307086614" bottom="0.551181102362205" header="0.31496062992126" footer="0.31496062992126"/>
  <pageSetup horizontalDpi="600" verticalDpi="600" orientation="landscape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7">
      <selection activeCell="C11" sqref="C11:G15"/>
    </sheetView>
  </sheetViews>
  <sheetFormatPr defaultColWidth="9.140625" defaultRowHeight="12.75"/>
  <cols>
    <col min="11" max="11" width="8.140625" style="0" customWidth="1"/>
    <col min="12" max="12" width="7.8515625" style="0" customWidth="1"/>
    <col min="14" max="17" width="10.00390625" style="0" bestFit="1" customWidth="1"/>
  </cols>
  <sheetData>
    <row r="1" spans="1:18" ht="15">
      <c r="A1" s="166"/>
      <c r="B1" s="166"/>
      <c r="C1" s="166"/>
      <c r="D1" s="166"/>
      <c r="E1" s="166"/>
      <c r="F1" s="166"/>
      <c r="G1" s="837"/>
      <c r="H1" s="837"/>
      <c r="I1" s="837"/>
      <c r="J1" s="166"/>
      <c r="K1" s="166"/>
      <c r="L1" s="166"/>
      <c r="M1" s="166"/>
      <c r="N1" s="166"/>
      <c r="O1" s="166"/>
      <c r="P1" s="166"/>
      <c r="Q1" s="838" t="s">
        <v>728</v>
      </c>
      <c r="R1" s="838"/>
    </row>
    <row r="2" spans="1:18" ht="15">
      <c r="A2" s="839" t="s">
        <v>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</row>
    <row r="3" spans="1:18" ht="18">
      <c r="A3" s="840" t="s">
        <v>841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</row>
    <row r="4" spans="1:18" ht="12">
      <c r="A4" s="841" t="s">
        <v>904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</row>
    <row r="5" spans="1:18" ht="12">
      <c r="A5" s="841"/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</row>
    <row r="6" spans="1:18" ht="12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</row>
    <row r="7" spans="1:18" ht="12.75">
      <c r="A7" s="844" t="s">
        <v>181</v>
      </c>
      <c r="B7" s="844"/>
      <c r="C7" s="166"/>
      <c r="D7" s="166"/>
      <c r="E7" s="166"/>
      <c r="F7" s="166"/>
      <c r="G7" s="166"/>
      <c r="H7" s="169"/>
      <c r="I7" s="166"/>
      <c r="J7" s="166"/>
      <c r="K7" s="166"/>
      <c r="L7" s="843"/>
      <c r="M7" s="843"/>
      <c r="N7" s="843"/>
      <c r="O7" s="843"/>
      <c r="P7" s="843"/>
      <c r="Q7" s="843"/>
      <c r="R7" s="843"/>
    </row>
    <row r="8" spans="1:20" ht="50.25" customHeight="1">
      <c r="A8" s="677" t="s">
        <v>2</v>
      </c>
      <c r="B8" s="677" t="s">
        <v>3</v>
      </c>
      <c r="C8" s="698" t="s">
        <v>532</v>
      </c>
      <c r="D8" s="699"/>
      <c r="E8" s="699"/>
      <c r="F8" s="699"/>
      <c r="G8" s="847"/>
      <c r="H8" s="845" t="s">
        <v>87</v>
      </c>
      <c r="I8" s="698" t="s">
        <v>88</v>
      </c>
      <c r="J8" s="699"/>
      <c r="K8" s="699"/>
      <c r="L8" s="847"/>
      <c r="M8" s="698" t="s">
        <v>767</v>
      </c>
      <c r="N8" s="699"/>
      <c r="O8" s="699"/>
      <c r="P8" s="699"/>
      <c r="Q8" s="699"/>
      <c r="R8" s="699"/>
      <c r="S8" s="808" t="s">
        <v>832</v>
      </c>
      <c r="T8" s="810"/>
    </row>
    <row r="9" spans="1:20" ht="64.5">
      <c r="A9" s="677"/>
      <c r="B9" s="677"/>
      <c r="C9" s="170" t="s">
        <v>5</v>
      </c>
      <c r="D9" s="170" t="s">
        <v>6</v>
      </c>
      <c r="E9" s="170" t="s">
        <v>381</v>
      </c>
      <c r="F9" s="171" t="s">
        <v>105</v>
      </c>
      <c r="G9" s="171" t="s">
        <v>250</v>
      </c>
      <c r="H9" s="846"/>
      <c r="I9" s="170" t="s">
        <v>201</v>
      </c>
      <c r="J9" s="170" t="s">
        <v>121</v>
      </c>
      <c r="K9" s="170" t="s">
        <v>122</v>
      </c>
      <c r="L9" s="170" t="s">
        <v>477</v>
      </c>
      <c r="M9" s="170" t="s">
        <v>19</v>
      </c>
      <c r="N9" s="170" t="s">
        <v>777</v>
      </c>
      <c r="O9" s="170" t="s">
        <v>775</v>
      </c>
      <c r="P9" s="170" t="s">
        <v>776</v>
      </c>
      <c r="Q9" s="170" t="s">
        <v>771</v>
      </c>
      <c r="R9" s="170" t="s">
        <v>772</v>
      </c>
      <c r="S9" s="170" t="s">
        <v>833</v>
      </c>
      <c r="T9" s="170" t="s">
        <v>834</v>
      </c>
    </row>
    <row r="10" spans="1:20" ht="12.75">
      <c r="A10" s="170">
        <v>1</v>
      </c>
      <c r="B10" s="170">
        <v>2</v>
      </c>
      <c r="C10" s="170">
        <v>3</v>
      </c>
      <c r="D10" s="170">
        <v>4</v>
      </c>
      <c r="E10" s="170">
        <v>5</v>
      </c>
      <c r="F10" s="170">
        <v>6</v>
      </c>
      <c r="G10" s="170">
        <v>7</v>
      </c>
      <c r="H10" s="170">
        <v>8</v>
      </c>
      <c r="I10" s="170">
        <v>9</v>
      </c>
      <c r="J10" s="170">
        <v>10</v>
      </c>
      <c r="K10" s="170">
        <v>11</v>
      </c>
      <c r="L10" s="170">
        <v>12</v>
      </c>
      <c r="M10" s="170">
        <v>13</v>
      </c>
      <c r="N10" s="170">
        <v>14</v>
      </c>
      <c r="O10" s="170">
        <v>15</v>
      </c>
      <c r="P10" s="170">
        <v>16</v>
      </c>
      <c r="Q10" s="170">
        <v>17</v>
      </c>
      <c r="R10" s="170">
        <v>18</v>
      </c>
      <c r="S10" s="170">
        <v>19</v>
      </c>
      <c r="T10" s="170">
        <v>20</v>
      </c>
    </row>
    <row r="11" spans="1:20" ht="28.5" customHeight="1">
      <c r="A11" s="219">
        <v>1</v>
      </c>
      <c r="B11" s="219" t="s">
        <v>632</v>
      </c>
      <c r="C11" s="493">
        <v>9920.52232142857</v>
      </c>
      <c r="D11" s="493">
        <v>0</v>
      </c>
      <c r="E11" s="493">
        <v>58.575892857142854</v>
      </c>
      <c r="F11" s="494">
        <v>0</v>
      </c>
      <c r="G11" s="493">
        <f>SUM(C11:F11)</f>
        <v>9979.098214285714</v>
      </c>
      <c r="H11" s="371">
        <v>228</v>
      </c>
      <c r="I11" s="262">
        <v>336.7674</v>
      </c>
      <c r="J11" s="262">
        <f>G11*H11*0.00015</f>
        <v>341.2851589285714</v>
      </c>
      <c r="K11" s="219">
        <v>0</v>
      </c>
      <c r="L11" s="219">
        <v>0</v>
      </c>
      <c r="M11" s="266">
        <v>0</v>
      </c>
      <c r="N11" s="330"/>
      <c r="O11" s="330"/>
      <c r="P11" s="330"/>
      <c r="Q11" s="330"/>
      <c r="R11" s="325"/>
      <c r="S11" s="325"/>
      <c r="T11" s="262">
        <f>J11*0.0182</f>
        <v>6.2113898925</v>
      </c>
    </row>
    <row r="12" spans="1:20" ht="22.5" customHeight="1">
      <c r="A12" s="219">
        <v>2</v>
      </c>
      <c r="B12" s="219" t="s">
        <v>633</v>
      </c>
      <c r="C12" s="493">
        <v>6149.700892857143</v>
      </c>
      <c r="D12" s="493">
        <v>47.111607142857146</v>
      </c>
      <c r="E12" s="493">
        <v>21.941964285714285</v>
      </c>
      <c r="F12" s="494">
        <v>0</v>
      </c>
      <c r="G12" s="493">
        <f>SUM(C12:F12)</f>
        <v>6218.754464285715</v>
      </c>
      <c r="H12" s="371">
        <v>228</v>
      </c>
      <c r="I12" s="262">
        <v>209.8512</v>
      </c>
      <c r="J12" s="262">
        <f>G12*H12*0.00015</f>
        <v>212.68140267857143</v>
      </c>
      <c r="K12" s="219">
        <v>0</v>
      </c>
      <c r="L12" s="219">
        <v>0</v>
      </c>
      <c r="M12" s="266">
        <v>0</v>
      </c>
      <c r="N12" s="330"/>
      <c r="O12" s="330"/>
      <c r="P12" s="330"/>
      <c r="Q12" s="330"/>
      <c r="R12" s="325"/>
      <c r="S12" s="325"/>
      <c r="T12" s="262">
        <f>J12*0.0182</f>
        <v>3.8708015287500004</v>
      </c>
    </row>
    <row r="13" spans="1:20" ht="23.25" customHeight="1">
      <c r="A13" s="219">
        <v>3</v>
      </c>
      <c r="B13" s="219" t="s">
        <v>634</v>
      </c>
      <c r="C13" s="493">
        <v>1593.3348214285713</v>
      </c>
      <c r="D13" s="493">
        <v>0</v>
      </c>
      <c r="E13" s="493">
        <v>0</v>
      </c>
      <c r="F13" s="494">
        <v>0</v>
      </c>
      <c r="G13" s="493">
        <f>SUM(C13:F13)</f>
        <v>1593.3348214285713</v>
      </c>
      <c r="H13" s="371">
        <v>228</v>
      </c>
      <c r="I13" s="262">
        <v>53.7624</v>
      </c>
      <c r="J13" s="262">
        <f>G13*H13*0.00015</f>
        <v>54.49205089285714</v>
      </c>
      <c r="K13" s="219">
        <v>0</v>
      </c>
      <c r="L13" s="219">
        <v>0</v>
      </c>
      <c r="M13" s="266">
        <v>0</v>
      </c>
      <c r="N13" s="848" t="s">
        <v>631</v>
      </c>
      <c r="O13" s="849"/>
      <c r="P13" s="849"/>
      <c r="Q13" s="850"/>
      <c r="R13" s="325"/>
      <c r="S13" s="325"/>
      <c r="T13" s="262">
        <f>J13*0.0182</f>
        <v>0.99175532625</v>
      </c>
    </row>
    <row r="14" spans="1:20" ht="24.75" customHeight="1">
      <c r="A14" s="219">
        <v>4</v>
      </c>
      <c r="B14" s="219" t="s">
        <v>635</v>
      </c>
      <c r="C14" s="493">
        <v>6425.674107142857</v>
      </c>
      <c r="D14" s="493">
        <v>0</v>
      </c>
      <c r="E14" s="493">
        <v>0</v>
      </c>
      <c r="F14" s="494">
        <v>0</v>
      </c>
      <c r="G14" s="493">
        <f>SUM(C14:F14)</f>
        <v>6425.674107142857</v>
      </c>
      <c r="H14" s="371">
        <v>228</v>
      </c>
      <c r="I14" s="262">
        <v>216.8622</v>
      </c>
      <c r="J14" s="262">
        <f>G14*H14*0.00015</f>
        <v>219.7580544642857</v>
      </c>
      <c r="K14" s="219">
        <v>0</v>
      </c>
      <c r="L14" s="219">
        <v>0</v>
      </c>
      <c r="M14" s="266">
        <v>0</v>
      </c>
      <c r="N14" s="330"/>
      <c r="O14" s="330"/>
      <c r="P14" s="330"/>
      <c r="Q14" s="330"/>
      <c r="R14" s="325"/>
      <c r="S14" s="325"/>
      <c r="T14" s="262">
        <f>J14*0.0182</f>
        <v>3.99959659125</v>
      </c>
    </row>
    <row r="15" spans="1:20" ht="30" customHeight="1">
      <c r="A15" s="851" t="s">
        <v>625</v>
      </c>
      <c r="B15" s="852"/>
      <c r="C15" s="495">
        <f>SUM(C11:C14)</f>
        <v>24089.232142857145</v>
      </c>
      <c r="D15" s="495">
        <f>SUM(D11:D14)</f>
        <v>47.111607142857146</v>
      </c>
      <c r="E15" s="495">
        <f>SUM(E11:E14)</f>
        <v>80.51785714285714</v>
      </c>
      <c r="F15" s="496">
        <f>SUM(F11:F14)</f>
        <v>0</v>
      </c>
      <c r="G15" s="497">
        <f>SUM(C15:F15)</f>
        <v>24216.861607142862</v>
      </c>
      <c r="H15" s="371">
        <v>228</v>
      </c>
      <c r="I15" s="317">
        <f>SUM(I11:I14)</f>
        <v>817.2432</v>
      </c>
      <c r="J15" s="317">
        <f>SUM(J11:J14)</f>
        <v>828.2166669642857</v>
      </c>
      <c r="K15" s="315">
        <f>SUM(K11:K14)</f>
        <v>0</v>
      </c>
      <c r="L15" s="315">
        <f>SUM(L11:L14)</f>
        <v>0</v>
      </c>
      <c r="M15" s="266">
        <v>0</v>
      </c>
      <c r="N15" s="331"/>
      <c r="O15" s="331"/>
      <c r="P15" s="331"/>
      <c r="Q15" s="332"/>
      <c r="R15" s="327"/>
      <c r="S15" s="325"/>
      <c r="T15" s="263">
        <f>J15*0.0182</f>
        <v>15.07354333875</v>
      </c>
    </row>
    <row r="16" spans="1:18" ht="12">
      <c r="A16" s="322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</row>
    <row r="17" spans="1:18" ht="12.75">
      <c r="A17" s="320"/>
      <c r="B17" s="166"/>
      <c r="C17" s="166"/>
      <c r="D17" s="166"/>
      <c r="E17" s="166"/>
      <c r="F17" s="166"/>
      <c r="G17" s="489"/>
      <c r="H17" s="166"/>
      <c r="I17" s="166"/>
      <c r="J17" s="276"/>
      <c r="K17" s="166"/>
      <c r="L17" s="166"/>
      <c r="M17" s="166"/>
      <c r="N17" s="166"/>
      <c r="O17" s="166"/>
      <c r="P17" s="166"/>
      <c r="Q17" s="166"/>
      <c r="R17" s="166"/>
    </row>
    <row r="18" spans="1:18" ht="12">
      <c r="A18" s="320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8" ht="12">
      <c r="A19" s="320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</row>
    <row r="20" spans="1:18" ht="12">
      <c r="A20" s="320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ht="12">
      <c r="A21" s="320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8" ht="12">
      <c r="A22" s="321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1:18" ht="12">
      <c r="A23" s="321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</row>
    <row r="24" spans="1:18" ht="12">
      <c r="A24" s="321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</row>
    <row r="25" spans="1:18" ht="12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</row>
    <row r="26" spans="1:18" ht="12.75">
      <c r="A26" s="174" t="s">
        <v>8</v>
      </c>
      <c r="B26" s="175"/>
      <c r="C26" s="17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</row>
    <row r="27" spans="1:18" ht="12.75">
      <c r="A27" s="175" t="s">
        <v>9</v>
      </c>
      <c r="B27" s="175"/>
      <c r="C27" s="17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</row>
    <row r="28" spans="1:18" ht="12.75">
      <c r="A28" s="175" t="s">
        <v>10</v>
      </c>
      <c r="B28" s="175"/>
      <c r="C28" s="175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8" ht="12.75">
      <c r="A29" s="175"/>
      <c r="B29" s="175"/>
      <c r="C29" s="175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</row>
    <row r="30" spans="1:18" ht="12.75">
      <c r="A30" s="175"/>
      <c r="B30" s="175"/>
      <c r="C30" s="17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</row>
    <row r="31" spans="1:18" ht="12.75">
      <c r="A31" s="175"/>
      <c r="B31" s="175"/>
      <c r="C31" s="17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</row>
    <row r="32" spans="1:18" ht="12.75">
      <c r="A32" s="175"/>
      <c r="B32" s="175"/>
      <c r="C32" s="175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</row>
    <row r="33" spans="1:18" ht="12.75">
      <c r="A33" s="175"/>
      <c r="B33" s="175"/>
      <c r="C33" s="175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ht="12.75">
      <c r="A34" s="175" t="s">
        <v>12</v>
      </c>
      <c r="B34" s="166"/>
      <c r="C34" s="166"/>
      <c r="D34" s="166"/>
      <c r="E34" s="166"/>
      <c r="F34" s="166"/>
      <c r="G34" s="166"/>
      <c r="H34" s="175"/>
      <c r="I34" s="166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8" ht="12.75">
      <c r="A35" s="166"/>
      <c r="B35" s="166"/>
      <c r="C35" s="166"/>
      <c r="D35" s="166"/>
      <c r="E35" s="166"/>
      <c r="F35" s="166"/>
      <c r="G35" s="166"/>
      <c r="H35" s="166"/>
      <c r="I35" s="175"/>
      <c r="J35" s="843" t="s">
        <v>14</v>
      </c>
      <c r="K35" s="843"/>
      <c r="L35" s="843"/>
      <c r="M35" s="843"/>
      <c r="N35" s="843"/>
      <c r="O35" s="843"/>
      <c r="P35" s="843"/>
      <c r="Q35" s="843"/>
      <c r="R35" s="843"/>
    </row>
    <row r="36" spans="1:18" ht="12.75">
      <c r="A36" s="166"/>
      <c r="B36" s="166"/>
      <c r="C36" s="166"/>
      <c r="D36" s="166"/>
      <c r="E36" s="166"/>
      <c r="F36" s="166"/>
      <c r="G36" s="166"/>
      <c r="H36" s="166"/>
      <c r="I36" s="843" t="s">
        <v>89</v>
      </c>
      <c r="J36" s="843"/>
      <c r="K36" s="843"/>
      <c r="L36" s="843"/>
      <c r="M36" s="843"/>
      <c r="N36" s="843"/>
      <c r="O36" s="843"/>
      <c r="P36" s="843"/>
      <c r="Q36" s="843"/>
      <c r="R36" s="843"/>
    </row>
    <row r="37" spans="1:18" ht="12.75">
      <c r="A37" s="175"/>
      <c r="B37" s="175"/>
      <c r="C37" s="166"/>
      <c r="D37" s="166"/>
      <c r="E37" s="166"/>
      <c r="F37" s="166"/>
      <c r="G37" s="166"/>
      <c r="H37" s="166"/>
      <c r="I37" s="166"/>
      <c r="J37" s="175"/>
      <c r="K37" s="175"/>
      <c r="L37" s="175"/>
      <c r="M37" s="175"/>
      <c r="N37" s="175"/>
      <c r="O37" s="175"/>
      <c r="P37" s="175"/>
      <c r="Q37" s="175"/>
      <c r="R37" s="175"/>
    </row>
  </sheetData>
  <sheetProtection/>
  <mergeCells count="19">
    <mergeCell ref="S8:T8"/>
    <mergeCell ref="J35:R35"/>
    <mergeCell ref="I36:R36"/>
    <mergeCell ref="A15:B15"/>
    <mergeCell ref="A7:B7"/>
    <mergeCell ref="L7:R7"/>
    <mergeCell ref="A8:A9"/>
    <mergeCell ref="B8:B9"/>
    <mergeCell ref="C8:G8"/>
    <mergeCell ref="H8:H9"/>
    <mergeCell ref="I8:L8"/>
    <mergeCell ref="N13:Q13"/>
    <mergeCell ref="M8:R8"/>
    <mergeCell ref="G1:I1"/>
    <mergeCell ref="Q1:R1"/>
    <mergeCell ref="A2:R2"/>
    <mergeCell ref="A3:R3"/>
    <mergeCell ref="A4:R5"/>
    <mergeCell ref="A6:R6"/>
  </mergeCells>
  <printOptions horizontalCentered="1"/>
  <pageMargins left="0.708661417322835" right="0.708661417322835" top="1.33858267716535" bottom="0.748031496062992" header="0.31496062992126" footer="0.31496062992126"/>
  <pageSetup horizontalDpi="600" verticalDpi="600" orientation="landscape" paperSize="9" scale="8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4" sqref="A4:N5"/>
    </sheetView>
  </sheetViews>
  <sheetFormatPr defaultColWidth="9.140625" defaultRowHeight="12.75"/>
  <sheetData>
    <row r="1" spans="1:14" ht="15">
      <c r="A1" s="166"/>
      <c r="B1" s="166"/>
      <c r="C1" s="166"/>
      <c r="D1" s="837"/>
      <c r="E1" s="837"/>
      <c r="F1" s="166"/>
      <c r="G1" s="166"/>
      <c r="H1" s="166"/>
      <c r="I1" s="166"/>
      <c r="J1" s="166"/>
      <c r="K1" s="166"/>
      <c r="L1" s="166"/>
      <c r="M1" s="838" t="s">
        <v>729</v>
      </c>
      <c r="N1" s="838"/>
    </row>
    <row r="2" spans="1:14" ht="15">
      <c r="A2" s="839" t="s">
        <v>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</row>
    <row r="3" spans="1:14" ht="18">
      <c r="A3" s="840" t="s">
        <v>841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</row>
    <row r="4" spans="1:14" ht="12">
      <c r="A4" s="841" t="s">
        <v>905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</row>
    <row r="5" spans="1:14" ht="12">
      <c r="A5" s="841"/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</row>
    <row r="6" spans="1:14" ht="12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</row>
    <row r="7" spans="1:14" ht="12.75">
      <c r="A7" s="844" t="s">
        <v>181</v>
      </c>
      <c r="B7" s="844"/>
      <c r="C7" s="166"/>
      <c r="D7" s="169"/>
      <c r="E7" s="166"/>
      <c r="F7" s="166"/>
      <c r="G7" s="166"/>
      <c r="H7" s="843"/>
      <c r="I7" s="843"/>
      <c r="J7" s="843"/>
      <c r="K7" s="843"/>
      <c r="L7" s="843"/>
      <c r="M7" s="843"/>
      <c r="N7" s="843"/>
    </row>
    <row r="8" spans="1:14" ht="12.75">
      <c r="A8" s="677" t="s">
        <v>2</v>
      </c>
      <c r="B8" s="677" t="s">
        <v>3</v>
      </c>
      <c r="C8" s="705" t="s">
        <v>532</v>
      </c>
      <c r="D8" s="845" t="s">
        <v>87</v>
      </c>
      <c r="E8" s="698" t="s">
        <v>88</v>
      </c>
      <c r="F8" s="699"/>
      <c r="G8" s="699"/>
      <c r="H8" s="847"/>
      <c r="I8" s="698" t="s">
        <v>767</v>
      </c>
      <c r="J8" s="699"/>
      <c r="K8" s="699"/>
      <c r="L8" s="699"/>
      <c r="M8" s="699"/>
      <c r="N8" s="699"/>
    </row>
    <row r="9" spans="1:14" ht="25.5">
      <c r="A9" s="677"/>
      <c r="B9" s="677"/>
      <c r="C9" s="707"/>
      <c r="D9" s="846"/>
      <c r="E9" s="170" t="s">
        <v>201</v>
      </c>
      <c r="F9" s="170" t="s">
        <v>121</v>
      </c>
      <c r="G9" s="170" t="s">
        <v>122</v>
      </c>
      <c r="H9" s="170" t="s">
        <v>477</v>
      </c>
      <c r="I9" s="170" t="s">
        <v>19</v>
      </c>
      <c r="J9" s="170" t="s">
        <v>768</v>
      </c>
      <c r="K9" s="170" t="s">
        <v>769</v>
      </c>
      <c r="L9" s="170" t="s">
        <v>770</v>
      </c>
      <c r="M9" s="170" t="s">
        <v>771</v>
      </c>
      <c r="N9" s="170" t="s">
        <v>772</v>
      </c>
    </row>
    <row r="10" spans="1:14" ht="12.75">
      <c r="A10" s="170">
        <v>1</v>
      </c>
      <c r="B10" s="170">
        <v>2</v>
      </c>
      <c r="C10" s="170">
        <v>3</v>
      </c>
      <c r="D10" s="170">
        <v>8</v>
      </c>
      <c r="E10" s="170">
        <v>9</v>
      </c>
      <c r="F10" s="170">
        <v>10</v>
      </c>
      <c r="G10" s="170">
        <v>11</v>
      </c>
      <c r="H10" s="170">
        <v>12</v>
      </c>
      <c r="I10" s="170">
        <v>13</v>
      </c>
      <c r="J10" s="170">
        <v>14</v>
      </c>
      <c r="K10" s="170">
        <v>15</v>
      </c>
      <c r="L10" s="170">
        <v>16</v>
      </c>
      <c r="M10" s="170">
        <v>17</v>
      </c>
      <c r="N10" s="170">
        <v>18</v>
      </c>
    </row>
    <row r="11" spans="1:14" ht="25.5" customHeight="1">
      <c r="A11" s="219">
        <v>1</v>
      </c>
      <c r="B11" s="325" t="s">
        <v>632</v>
      </c>
      <c r="C11" s="173"/>
      <c r="D11" s="284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4" ht="30.75" customHeight="1">
      <c r="A12" s="219">
        <v>2</v>
      </c>
      <c r="B12" s="325" t="s">
        <v>633</v>
      </c>
      <c r="C12" s="173"/>
      <c r="D12" s="284"/>
      <c r="E12" s="851" t="s">
        <v>641</v>
      </c>
      <c r="F12" s="853"/>
      <c r="G12" s="853"/>
      <c r="H12" s="853"/>
      <c r="I12" s="853"/>
      <c r="J12" s="853"/>
      <c r="K12" s="853"/>
      <c r="L12" s="854"/>
      <c r="M12" s="173"/>
      <c r="N12" s="173"/>
    </row>
    <row r="13" spans="1:14" ht="27" customHeight="1">
      <c r="A13" s="219">
        <v>3</v>
      </c>
      <c r="B13" s="325" t="s">
        <v>634</v>
      </c>
      <c r="C13" s="173"/>
      <c r="D13" s="284"/>
      <c r="E13" s="855"/>
      <c r="F13" s="856"/>
      <c r="G13" s="856"/>
      <c r="H13" s="856"/>
      <c r="I13" s="856"/>
      <c r="J13" s="856"/>
      <c r="K13" s="856"/>
      <c r="L13" s="857"/>
      <c r="M13" s="173"/>
      <c r="N13" s="173"/>
    </row>
    <row r="14" spans="1:14" ht="26.25" customHeight="1">
      <c r="A14" s="219">
        <v>4</v>
      </c>
      <c r="B14" s="325" t="s">
        <v>635</v>
      </c>
      <c r="C14" s="173"/>
      <c r="D14" s="284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26.25" customHeight="1">
      <c r="A15" s="326"/>
      <c r="B15" s="327"/>
      <c r="C15" s="319"/>
      <c r="D15" s="324"/>
      <c r="E15" s="319"/>
      <c r="F15" s="319"/>
      <c r="G15" s="319"/>
      <c r="H15" s="319"/>
      <c r="I15" s="319"/>
      <c r="J15" s="319"/>
      <c r="K15" s="319"/>
      <c r="L15" s="319"/>
      <c r="M15" s="319"/>
      <c r="N15" s="319"/>
    </row>
    <row r="16" spans="1:14" ht="12">
      <c r="A16" s="322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</row>
    <row r="17" spans="1:14" ht="12">
      <c r="A17" s="320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12">
      <c r="A18" s="321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12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2.75">
      <c r="A20" s="174" t="s">
        <v>8</v>
      </c>
      <c r="B20" s="175"/>
      <c r="C20" s="175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12.75">
      <c r="A21" s="175" t="s">
        <v>9</v>
      </c>
      <c r="B21" s="175"/>
      <c r="C21" s="175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12.75">
      <c r="A22" s="175" t="s">
        <v>10</v>
      </c>
      <c r="B22" s="175"/>
      <c r="C22" s="17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4" ht="12.75">
      <c r="A23" s="175"/>
      <c r="B23" s="175"/>
      <c r="C23" s="175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14" ht="12.75">
      <c r="A24" s="175"/>
      <c r="B24" s="175"/>
      <c r="C24" s="17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 ht="12.75">
      <c r="A25" s="175" t="s">
        <v>12</v>
      </c>
      <c r="B25" s="166"/>
      <c r="C25" s="166"/>
      <c r="D25" s="175"/>
      <c r="E25" s="166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4" ht="12.75">
      <c r="A26" s="166"/>
      <c r="B26" s="166"/>
      <c r="C26" s="166"/>
      <c r="D26" s="166"/>
      <c r="E26" s="175"/>
      <c r="F26" s="843" t="s">
        <v>14</v>
      </c>
      <c r="G26" s="843"/>
      <c r="H26" s="843"/>
      <c r="I26" s="843"/>
      <c r="J26" s="843"/>
      <c r="K26" s="843"/>
      <c r="L26" s="843"/>
      <c r="M26" s="843"/>
      <c r="N26" s="843"/>
    </row>
    <row r="27" spans="1:14" ht="12.75">
      <c r="A27" s="166"/>
      <c r="B27" s="166"/>
      <c r="C27" s="166"/>
      <c r="D27" s="166"/>
      <c r="E27" s="843" t="s">
        <v>89</v>
      </c>
      <c r="F27" s="843"/>
      <c r="G27" s="843"/>
      <c r="H27" s="843"/>
      <c r="I27" s="843"/>
      <c r="J27" s="843"/>
      <c r="K27" s="843"/>
      <c r="L27" s="843"/>
      <c r="M27" s="843"/>
      <c r="N27" s="843"/>
    </row>
    <row r="28" spans="1:14" ht="12.75">
      <c r="A28" s="175"/>
      <c r="B28" s="175"/>
      <c r="C28" s="166"/>
      <c r="D28" s="166"/>
      <c r="E28" s="166"/>
      <c r="F28" s="175"/>
      <c r="G28" s="175"/>
      <c r="H28" s="175"/>
      <c r="I28" s="175"/>
      <c r="J28" s="175"/>
      <c r="K28" s="175"/>
      <c r="L28" s="175"/>
      <c r="M28" s="175"/>
      <c r="N28" s="175"/>
    </row>
  </sheetData>
  <sheetProtection/>
  <mergeCells count="17">
    <mergeCell ref="F26:N26"/>
    <mergeCell ref="E27:N27"/>
    <mergeCell ref="E12:L13"/>
    <mergeCell ref="A7:B7"/>
    <mergeCell ref="H7:N7"/>
    <mergeCell ref="A8:A9"/>
    <mergeCell ref="B8:B9"/>
    <mergeCell ref="C8:C9"/>
    <mergeCell ref="D8:D9"/>
    <mergeCell ref="E8:H8"/>
    <mergeCell ref="I8:N8"/>
    <mergeCell ref="D1:E1"/>
    <mergeCell ref="M1:N1"/>
    <mergeCell ref="A2:N2"/>
    <mergeCell ref="A3:N3"/>
    <mergeCell ref="A4:N5"/>
    <mergeCell ref="A6:N6"/>
  </mergeCells>
  <printOptions horizontalCentered="1"/>
  <pageMargins left="0.708661417322835" right="0.708661417322835" top="1.14173228346457" bottom="0.748031496062992" header="0.31496062992126" footer="0.31496062992126"/>
  <pageSetup horizontalDpi="600" verticalDpi="600" orientation="landscape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4" sqref="N14"/>
    </sheetView>
  </sheetViews>
  <sheetFormatPr defaultColWidth="9.140625" defaultRowHeight="12.75"/>
  <sheetData>
    <row r="1" spans="1:14" ht="15">
      <c r="A1" s="166"/>
      <c r="B1" s="166"/>
      <c r="C1" s="166"/>
      <c r="D1" s="837"/>
      <c r="E1" s="837"/>
      <c r="F1" s="166"/>
      <c r="G1" s="166"/>
      <c r="H1" s="166"/>
      <c r="I1" s="166"/>
      <c r="J1" s="166"/>
      <c r="K1" s="166"/>
      <c r="L1" s="166"/>
      <c r="M1" s="838" t="s">
        <v>773</v>
      </c>
      <c r="N1" s="838"/>
    </row>
    <row r="2" spans="1:14" ht="15">
      <c r="A2" s="839" t="s">
        <v>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</row>
    <row r="3" spans="1:14" ht="18">
      <c r="A3" s="840" t="s">
        <v>841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</row>
    <row r="4" spans="1:14" ht="12">
      <c r="A4" s="858" t="s">
        <v>906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</row>
    <row r="5" spans="1:14" ht="12">
      <c r="A5" s="858"/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</row>
    <row r="6" spans="1:14" ht="12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</row>
    <row r="7" spans="1:14" ht="12.75">
      <c r="A7" s="844" t="s">
        <v>181</v>
      </c>
      <c r="B7" s="844"/>
      <c r="C7" s="166"/>
      <c r="D7" s="169"/>
      <c r="E7" s="166"/>
      <c r="F7" s="166"/>
      <c r="G7" s="166"/>
      <c r="H7" s="843"/>
      <c r="I7" s="843"/>
      <c r="J7" s="843"/>
      <c r="K7" s="843"/>
      <c r="L7" s="843"/>
      <c r="M7" s="843"/>
      <c r="N7" s="843"/>
    </row>
    <row r="8" spans="1:14" ht="12.75">
      <c r="A8" s="677" t="s">
        <v>2</v>
      </c>
      <c r="B8" s="677" t="s">
        <v>3</v>
      </c>
      <c r="C8" s="705" t="s">
        <v>532</v>
      </c>
      <c r="D8" s="845" t="s">
        <v>87</v>
      </c>
      <c r="E8" s="698" t="s">
        <v>88</v>
      </c>
      <c r="F8" s="699"/>
      <c r="G8" s="699"/>
      <c r="H8" s="847"/>
      <c r="I8" s="698" t="s">
        <v>767</v>
      </c>
      <c r="J8" s="699"/>
      <c r="K8" s="699"/>
      <c r="L8" s="699"/>
      <c r="M8" s="699"/>
      <c r="N8" s="847"/>
    </row>
    <row r="9" spans="1:14" ht="25.5">
      <c r="A9" s="677"/>
      <c r="B9" s="677"/>
      <c r="C9" s="707"/>
      <c r="D9" s="846"/>
      <c r="E9" s="170" t="s">
        <v>201</v>
      </c>
      <c r="F9" s="170" t="s">
        <v>121</v>
      </c>
      <c r="G9" s="170" t="s">
        <v>122</v>
      </c>
      <c r="H9" s="170" t="s">
        <v>477</v>
      </c>
      <c r="I9" s="170" t="s">
        <v>19</v>
      </c>
      <c r="J9" s="170" t="s">
        <v>768</v>
      </c>
      <c r="K9" s="170" t="s">
        <v>769</v>
      </c>
      <c r="L9" s="170" t="s">
        <v>770</v>
      </c>
      <c r="M9" s="170" t="s">
        <v>771</v>
      </c>
      <c r="N9" s="170" t="s">
        <v>772</v>
      </c>
    </row>
    <row r="10" spans="1:14" ht="12.75">
      <c r="A10" s="170">
        <v>1</v>
      </c>
      <c r="B10" s="170">
        <v>2</v>
      </c>
      <c r="C10" s="170">
        <v>3</v>
      </c>
      <c r="D10" s="170">
        <v>8</v>
      </c>
      <c r="E10" s="170">
        <v>9</v>
      </c>
      <c r="F10" s="170">
        <v>10</v>
      </c>
      <c r="G10" s="170">
        <v>11</v>
      </c>
      <c r="H10" s="170">
        <v>12</v>
      </c>
      <c r="I10" s="170">
        <v>13</v>
      </c>
      <c r="J10" s="170">
        <v>14</v>
      </c>
      <c r="K10" s="170">
        <v>15</v>
      </c>
      <c r="L10" s="170">
        <v>16</v>
      </c>
      <c r="M10" s="170">
        <v>17</v>
      </c>
      <c r="N10" s="170">
        <v>18</v>
      </c>
    </row>
    <row r="11" spans="1:14" ht="34.5" customHeight="1">
      <c r="A11" s="219">
        <v>1</v>
      </c>
      <c r="B11" s="325" t="s">
        <v>632</v>
      </c>
      <c r="C11" s="173"/>
      <c r="D11" s="284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4" ht="25.5" customHeight="1">
      <c r="A12" s="219">
        <v>2</v>
      </c>
      <c r="B12" s="325" t="s">
        <v>633</v>
      </c>
      <c r="C12" s="173"/>
      <c r="D12" s="284"/>
      <c r="E12" s="851" t="s">
        <v>641</v>
      </c>
      <c r="F12" s="853"/>
      <c r="G12" s="853"/>
      <c r="H12" s="853"/>
      <c r="I12" s="853"/>
      <c r="J12" s="853"/>
      <c r="K12" s="853"/>
      <c r="L12" s="854"/>
      <c r="M12" s="173"/>
      <c r="N12" s="173"/>
    </row>
    <row r="13" spans="1:14" ht="26.25" customHeight="1">
      <c r="A13" s="219">
        <v>3</v>
      </c>
      <c r="B13" s="325" t="s">
        <v>634</v>
      </c>
      <c r="C13" s="173"/>
      <c r="D13" s="284"/>
      <c r="E13" s="855"/>
      <c r="F13" s="856"/>
      <c r="G13" s="856"/>
      <c r="H13" s="856"/>
      <c r="I13" s="856"/>
      <c r="J13" s="856"/>
      <c r="K13" s="856"/>
      <c r="L13" s="857"/>
      <c r="M13" s="173"/>
      <c r="N13" s="173"/>
    </row>
    <row r="14" spans="1:14" ht="24.75" customHeight="1">
      <c r="A14" s="219">
        <v>4</v>
      </c>
      <c r="B14" s="325" t="s">
        <v>635</v>
      </c>
      <c r="C14" s="173"/>
      <c r="D14" s="284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27" customHeight="1">
      <c r="A15" s="326"/>
      <c r="B15" s="327"/>
      <c r="C15" s="319"/>
      <c r="D15" s="324"/>
      <c r="E15" s="319"/>
      <c r="F15" s="319"/>
      <c r="G15" s="319"/>
      <c r="H15" s="319"/>
      <c r="I15" s="319"/>
      <c r="J15" s="319"/>
      <c r="K15" s="319"/>
      <c r="L15" s="319"/>
      <c r="M15" s="319"/>
      <c r="N15" s="319"/>
    </row>
    <row r="16" spans="1:14" ht="12">
      <c r="A16" s="322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</row>
    <row r="17" spans="1:14" ht="12">
      <c r="A17" s="320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12">
      <c r="A18" s="321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12">
      <c r="A19" s="321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2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12.75">
      <c r="A21" s="174" t="s">
        <v>8</v>
      </c>
      <c r="B21" s="175"/>
      <c r="C21" s="175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12.75">
      <c r="A22" s="175" t="s">
        <v>9</v>
      </c>
      <c r="B22" s="175"/>
      <c r="C22" s="17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4" ht="12.75">
      <c r="A23" s="175" t="s">
        <v>10</v>
      </c>
      <c r="B23" s="175"/>
      <c r="C23" s="175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14" ht="12.75">
      <c r="A24" s="175"/>
      <c r="B24" s="175"/>
      <c r="C24" s="17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 ht="12.75">
      <c r="A25" s="175"/>
      <c r="B25" s="175"/>
      <c r="C25" s="175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1:14" ht="12.75">
      <c r="A26" s="175" t="s">
        <v>12</v>
      </c>
      <c r="B26" s="166"/>
      <c r="C26" s="166"/>
      <c r="D26" s="175"/>
      <c r="E26" s="166"/>
      <c r="F26" s="175"/>
      <c r="G26" s="175"/>
      <c r="H26" s="175"/>
      <c r="I26" s="175"/>
      <c r="J26" s="175"/>
      <c r="K26" s="175"/>
      <c r="L26" s="175"/>
      <c r="M26" s="175"/>
      <c r="N26" s="175"/>
    </row>
    <row r="27" spans="1:14" ht="12.75">
      <c r="A27" s="166"/>
      <c r="B27" s="166"/>
      <c r="C27" s="166"/>
      <c r="D27" s="166"/>
      <c r="E27" s="175"/>
      <c r="F27" s="843" t="s">
        <v>14</v>
      </c>
      <c r="G27" s="843"/>
      <c r="H27" s="843"/>
      <c r="I27" s="843"/>
      <c r="J27" s="843"/>
      <c r="K27" s="843"/>
      <c r="L27" s="843"/>
      <c r="M27" s="843"/>
      <c r="N27" s="843"/>
    </row>
    <row r="28" spans="1:14" ht="12.75">
      <c r="A28" s="166"/>
      <c r="B28" s="166"/>
      <c r="C28" s="166"/>
      <c r="D28" s="166"/>
      <c r="E28" s="843" t="s">
        <v>89</v>
      </c>
      <c r="F28" s="843"/>
      <c r="G28" s="843"/>
      <c r="H28" s="843"/>
      <c r="I28" s="843"/>
      <c r="J28" s="843"/>
      <c r="K28" s="843"/>
      <c r="L28" s="843"/>
      <c r="M28" s="843"/>
      <c r="N28" s="843"/>
    </row>
    <row r="29" spans="1:14" ht="12.75">
      <c r="A29" s="175"/>
      <c r="B29" s="175"/>
      <c r="C29" s="166"/>
      <c r="D29" s="166"/>
      <c r="E29" s="166"/>
      <c r="F29" s="175"/>
      <c r="G29" s="175"/>
      <c r="H29" s="175"/>
      <c r="I29" s="175"/>
      <c r="J29" s="175"/>
      <c r="K29" s="175"/>
      <c r="L29" s="175"/>
      <c r="M29" s="175"/>
      <c r="N29" s="175"/>
    </row>
  </sheetData>
  <sheetProtection/>
  <mergeCells count="17">
    <mergeCell ref="F27:N27"/>
    <mergeCell ref="E28:N28"/>
    <mergeCell ref="E12:L13"/>
    <mergeCell ref="A7:B7"/>
    <mergeCell ref="H7:N7"/>
    <mergeCell ref="A8:A9"/>
    <mergeCell ref="B8:B9"/>
    <mergeCell ref="C8:C9"/>
    <mergeCell ref="D8:D9"/>
    <mergeCell ref="E8:H8"/>
    <mergeCell ref="I8:N8"/>
    <mergeCell ref="D1:E1"/>
    <mergeCell ref="M1:N1"/>
    <mergeCell ref="A2:N2"/>
    <mergeCell ref="A3:N3"/>
    <mergeCell ref="A4:N5"/>
    <mergeCell ref="A6:N6"/>
  </mergeCells>
  <printOptions horizontalCentered="1"/>
  <pageMargins left="0.708661417322835" right="0.708661417322835" top="1.14173228346457" bottom="0.748031496062992" header="0.31496062992126" footer="0.31496062992126"/>
  <pageSetup horizontalDpi="600" verticalDpi="600" orientation="landscape" paperSize="9" scale="9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I8" sqref="I8:N8"/>
    </sheetView>
  </sheetViews>
  <sheetFormatPr defaultColWidth="9.140625" defaultRowHeight="12.75"/>
  <sheetData>
    <row r="1" spans="1:14" ht="15">
      <c r="A1" s="166"/>
      <c r="B1" s="166"/>
      <c r="C1" s="166"/>
      <c r="D1" s="837"/>
      <c r="E1" s="837"/>
      <c r="F1" s="166"/>
      <c r="G1" s="166"/>
      <c r="H1" s="166"/>
      <c r="I1" s="166"/>
      <c r="J1" s="166"/>
      <c r="K1" s="166"/>
      <c r="L1" s="166"/>
      <c r="M1" s="838" t="s">
        <v>730</v>
      </c>
      <c r="N1" s="838"/>
    </row>
    <row r="2" spans="1:14" ht="15">
      <c r="A2" s="839" t="s">
        <v>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</row>
    <row r="3" spans="1:14" ht="18">
      <c r="A3" s="840" t="s">
        <v>841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</row>
    <row r="4" spans="1:14" ht="12">
      <c r="A4" s="858" t="s">
        <v>907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</row>
    <row r="5" spans="1:14" ht="12">
      <c r="A5" s="858"/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</row>
    <row r="6" spans="1:14" ht="12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</row>
    <row r="7" spans="1:14" ht="12.75">
      <c r="A7" s="844" t="s">
        <v>181</v>
      </c>
      <c r="B7" s="844"/>
      <c r="C7" s="166"/>
      <c r="D7" s="169"/>
      <c r="E7" s="166"/>
      <c r="F7" s="166"/>
      <c r="G7" s="166"/>
      <c r="H7" s="843"/>
      <c r="I7" s="843"/>
      <c r="J7" s="843"/>
      <c r="K7" s="843"/>
      <c r="L7" s="843"/>
      <c r="M7" s="843"/>
      <c r="N7" s="843"/>
    </row>
    <row r="8" spans="1:14" ht="12.75">
      <c r="A8" s="677" t="s">
        <v>2</v>
      </c>
      <c r="B8" s="677" t="s">
        <v>3</v>
      </c>
      <c r="C8" s="705" t="s">
        <v>532</v>
      </c>
      <c r="D8" s="845" t="s">
        <v>87</v>
      </c>
      <c r="E8" s="698" t="s">
        <v>88</v>
      </c>
      <c r="F8" s="699"/>
      <c r="G8" s="699"/>
      <c r="H8" s="847"/>
      <c r="I8" s="698" t="s">
        <v>767</v>
      </c>
      <c r="J8" s="699"/>
      <c r="K8" s="699"/>
      <c r="L8" s="699"/>
      <c r="M8" s="699"/>
      <c r="N8" s="699"/>
    </row>
    <row r="9" spans="1:14" ht="25.5">
      <c r="A9" s="677"/>
      <c r="B9" s="677"/>
      <c r="C9" s="707"/>
      <c r="D9" s="846"/>
      <c r="E9" s="170" t="s">
        <v>201</v>
      </c>
      <c r="F9" s="170" t="s">
        <v>121</v>
      </c>
      <c r="G9" s="170" t="s">
        <v>122</v>
      </c>
      <c r="H9" s="170" t="s">
        <v>477</v>
      </c>
      <c r="I9" s="170" t="s">
        <v>19</v>
      </c>
      <c r="J9" s="170" t="s">
        <v>768</v>
      </c>
      <c r="K9" s="170" t="s">
        <v>769</v>
      </c>
      <c r="L9" s="170" t="s">
        <v>770</v>
      </c>
      <c r="M9" s="170" t="s">
        <v>771</v>
      </c>
      <c r="N9" s="170" t="s">
        <v>772</v>
      </c>
    </row>
    <row r="10" spans="1:14" ht="12.75">
      <c r="A10" s="170">
        <v>1</v>
      </c>
      <c r="B10" s="170">
        <v>2</v>
      </c>
      <c r="C10" s="170">
        <v>3</v>
      </c>
      <c r="D10" s="170">
        <v>8</v>
      </c>
      <c r="E10" s="170">
        <v>9</v>
      </c>
      <c r="F10" s="170">
        <v>10</v>
      </c>
      <c r="G10" s="170">
        <v>11</v>
      </c>
      <c r="H10" s="170">
        <v>12</v>
      </c>
      <c r="I10" s="170">
        <v>13</v>
      </c>
      <c r="J10" s="170">
        <v>14</v>
      </c>
      <c r="K10" s="170">
        <v>15</v>
      </c>
      <c r="L10" s="170">
        <v>16</v>
      </c>
      <c r="M10" s="170">
        <v>17</v>
      </c>
      <c r="N10" s="170">
        <v>18</v>
      </c>
    </row>
    <row r="11" spans="1:14" ht="30" customHeight="1">
      <c r="A11" s="219">
        <v>1</v>
      </c>
      <c r="B11" s="325" t="s">
        <v>632</v>
      </c>
      <c r="C11" s="173"/>
      <c r="D11" s="284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4" ht="33.75" customHeight="1">
      <c r="A12" s="219">
        <v>2</v>
      </c>
      <c r="B12" s="325" t="s">
        <v>633</v>
      </c>
      <c r="C12" s="173"/>
      <c r="D12" s="284"/>
      <c r="E12" s="851" t="s">
        <v>641</v>
      </c>
      <c r="F12" s="853"/>
      <c r="G12" s="853"/>
      <c r="H12" s="853"/>
      <c r="I12" s="853"/>
      <c r="J12" s="853"/>
      <c r="K12" s="853"/>
      <c r="L12" s="854"/>
      <c r="M12" s="173"/>
      <c r="N12" s="173"/>
    </row>
    <row r="13" spans="1:14" ht="29.25" customHeight="1">
      <c r="A13" s="219">
        <v>3</v>
      </c>
      <c r="B13" s="325" t="s">
        <v>634</v>
      </c>
      <c r="C13" s="173"/>
      <c r="D13" s="284"/>
      <c r="E13" s="855"/>
      <c r="F13" s="856"/>
      <c r="G13" s="856"/>
      <c r="H13" s="856"/>
      <c r="I13" s="856"/>
      <c r="J13" s="856"/>
      <c r="K13" s="856"/>
      <c r="L13" s="857"/>
      <c r="M13" s="173"/>
      <c r="N13" s="173"/>
    </row>
    <row r="14" spans="1:14" ht="27" customHeight="1">
      <c r="A14" s="219">
        <v>4</v>
      </c>
      <c r="B14" s="325" t="s">
        <v>635</v>
      </c>
      <c r="C14" s="173"/>
      <c r="D14" s="284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27" customHeight="1">
      <c r="A15" s="219"/>
      <c r="B15" s="325"/>
      <c r="C15" s="173"/>
      <c r="D15" s="284"/>
      <c r="E15" s="173"/>
      <c r="F15" s="173"/>
      <c r="G15" s="173"/>
      <c r="H15" s="173"/>
      <c r="I15" s="173"/>
      <c r="J15" s="173"/>
      <c r="K15" s="173"/>
      <c r="L15" s="173"/>
      <c r="M15" s="173"/>
      <c r="N15" s="173"/>
    </row>
    <row r="16" spans="1:14" ht="12">
      <c r="A16" s="320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</row>
    <row r="17" spans="1:14" ht="12">
      <c r="A17" s="320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12">
      <c r="A18" s="321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12">
      <c r="A19" s="321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2">
      <c r="A20" s="321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12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12.75">
      <c r="A22" s="174" t="s">
        <v>8</v>
      </c>
      <c r="B22" s="175"/>
      <c r="C22" s="17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4" ht="12.75">
      <c r="A23" s="175" t="s">
        <v>9</v>
      </c>
      <c r="B23" s="175"/>
      <c r="C23" s="175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14" ht="12.75">
      <c r="A24" s="175" t="s">
        <v>10</v>
      </c>
      <c r="B24" s="175"/>
      <c r="C24" s="17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 ht="12.75">
      <c r="A25" s="175"/>
      <c r="B25" s="175"/>
      <c r="C25" s="175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1:14" ht="12.75">
      <c r="A26" s="175"/>
      <c r="B26" s="175"/>
      <c r="C26" s="17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</row>
    <row r="27" spans="1:14" ht="12.75">
      <c r="A27" s="175" t="s">
        <v>12</v>
      </c>
      <c r="B27" s="166"/>
      <c r="C27" s="166"/>
      <c r="D27" s="175"/>
      <c r="E27" s="166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4" ht="12.75">
      <c r="A28" s="166"/>
      <c r="B28" s="166"/>
      <c r="C28" s="166"/>
      <c r="D28" s="166"/>
      <c r="E28" s="175"/>
      <c r="F28" s="843" t="s">
        <v>14</v>
      </c>
      <c r="G28" s="843"/>
      <c r="H28" s="843"/>
      <c r="I28" s="843"/>
      <c r="J28" s="843"/>
      <c r="K28" s="843"/>
      <c r="L28" s="843"/>
      <c r="M28" s="843"/>
      <c r="N28" s="843"/>
    </row>
    <row r="29" spans="1:14" ht="12.75">
      <c r="A29" s="166"/>
      <c r="B29" s="166"/>
      <c r="C29" s="166"/>
      <c r="D29" s="166"/>
      <c r="E29" s="843" t="s">
        <v>89</v>
      </c>
      <c r="F29" s="843"/>
      <c r="G29" s="843"/>
      <c r="H29" s="843"/>
      <c r="I29" s="843"/>
      <c r="J29" s="843"/>
      <c r="K29" s="843"/>
      <c r="L29" s="843"/>
      <c r="M29" s="843"/>
      <c r="N29" s="843"/>
    </row>
    <row r="30" spans="1:14" ht="12.75">
      <c r="A30" s="175"/>
      <c r="B30" s="175"/>
      <c r="C30" s="166"/>
      <c r="D30" s="166"/>
      <c r="E30" s="166"/>
      <c r="F30" s="175"/>
      <c r="G30" s="175"/>
      <c r="H30" s="175"/>
      <c r="I30" s="175"/>
      <c r="J30" s="175"/>
      <c r="K30" s="175"/>
      <c r="L30" s="175"/>
      <c r="M30" s="175"/>
      <c r="N30" s="175"/>
    </row>
  </sheetData>
  <sheetProtection/>
  <mergeCells count="17">
    <mergeCell ref="F28:N28"/>
    <mergeCell ref="E29:N29"/>
    <mergeCell ref="E12:L13"/>
    <mergeCell ref="A7:B7"/>
    <mergeCell ref="H7:N7"/>
    <mergeCell ref="A8:A9"/>
    <mergeCell ref="B8:B9"/>
    <mergeCell ref="C8:C9"/>
    <mergeCell ref="D8:D9"/>
    <mergeCell ref="E8:H8"/>
    <mergeCell ref="I8:N8"/>
    <mergeCell ref="D1:E1"/>
    <mergeCell ref="M1:N1"/>
    <mergeCell ref="A2:N2"/>
    <mergeCell ref="A3:N3"/>
    <mergeCell ref="A4:N5"/>
    <mergeCell ref="A6:N6"/>
  </mergeCells>
  <printOptions horizontalCentered="1"/>
  <pageMargins left="0.708661417322835" right="0.511811023622047" top="1.14173228346457" bottom="0.748031496062992" header="1.2992125984252" footer="0.3149606299212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SheetLayoutView="100" zoomScalePageLayoutView="0" workbookViewId="0" topLeftCell="A4">
      <selection activeCell="G15" sqref="G15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  <col min="9" max="9" width="9.8515625" style="0" customWidth="1"/>
  </cols>
  <sheetData>
    <row r="1" spans="1:8" ht="15">
      <c r="A1" s="650" t="s">
        <v>0</v>
      </c>
      <c r="B1" s="650"/>
      <c r="C1" s="650"/>
      <c r="D1" s="650"/>
      <c r="E1" s="650"/>
      <c r="F1" s="650"/>
      <c r="G1" s="650"/>
      <c r="H1" s="118" t="s">
        <v>281</v>
      </c>
    </row>
    <row r="2" spans="1:8" ht="20.25">
      <c r="A2" s="651" t="s">
        <v>841</v>
      </c>
      <c r="B2" s="651"/>
      <c r="C2" s="651"/>
      <c r="D2" s="651"/>
      <c r="E2" s="651"/>
      <c r="F2" s="651"/>
      <c r="G2" s="651"/>
      <c r="H2" s="651"/>
    </row>
    <row r="3" spans="1:2" ht="13.5">
      <c r="A3" s="120"/>
      <c r="B3" s="120"/>
    </row>
    <row r="4" spans="1:8" ht="18" customHeight="1">
      <c r="A4" s="652" t="s">
        <v>864</v>
      </c>
      <c r="B4" s="652"/>
      <c r="C4" s="652"/>
      <c r="D4" s="652"/>
      <c r="E4" s="652"/>
      <c r="F4" s="652"/>
      <c r="G4" s="652"/>
      <c r="H4" s="652"/>
    </row>
    <row r="5" spans="1:2" ht="13.5">
      <c r="A5" s="121" t="s">
        <v>644</v>
      </c>
      <c r="B5" s="121"/>
    </row>
    <row r="6" spans="1:9" ht="13.5">
      <c r="A6" s="121"/>
      <c r="B6" s="121"/>
      <c r="G6" s="653" t="s">
        <v>843</v>
      </c>
      <c r="H6" s="653"/>
      <c r="I6" s="52"/>
    </row>
    <row r="7" spans="1:8" ht="59.25" customHeight="1">
      <c r="A7" s="350" t="s">
        <v>2</v>
      </c>
      <c r="B7" s="350" t="s">
        <v>3</v>
      </c>
      <c r="C7" s="353" t="s">
        <v>282</v>
      </c>
      <c r="D7" s="353" t="s">
        <v>283</v>
      </c>
      <c r="E7" s="353" t="s">
        <v>284</v>
      </c>
      <c r="F7" s="353" t="s">
        <v>285</v>
      </c>
      <c r="G7" s="519" t="s">
        <v>286</v>
      </c>
      <c r="H7" s="353" t="s">
        <v>287</v>
      </c>
    </row>
    <row r="8" spans="1:8" s="118" customFormat="1" ht="14.25">
      <c r="A8" s="123" t="s">
        <v>288</v>
      </c>
      <c r="B8" s="123" t="s">
        <v>289</v>
      </c>
      <c r="C8" s="123" t="s">
        <v>290</v>
      </c>
      <c r="D8" s="123" t="s">
        <v>291</v>
      </c>
      <c r="E8" s="123" t="s">
        <v>292</v>
      </c>
      <c r="F8" s="123" t="s">
        <v>293</v>
      </c>
      <c r="G8" s="123" t="s">
        <v>294</v>
      </c>
      <c r="H8" s="123" t="s">
        <v>295</v>
      </c>
    </row>
    <row r="9" spans="1:8" ht="27.75" customHeight="1">
      <c r="A9" s="10">
        <v>1</v>
      </c>
      <c r="B9" s="204" t="s">
        <v>632</v>
      </c>
      <c r="C9" s="219">
        <v>141</v>
      </c>
      <c r="D9" s="219">
        <v>0</v>
      </c>
      <c r="E9" s="219">
        <v>130</v>
      </c>
      <c r="F9" s="219">
        <f>SUM(C9:E9)</f>
        <v>271</v>
      </c>
      <c r="G9" s="490">
        <v>271</v>
      </c>
      <c r="H9" s="203"/>
    </row>
    <row r="10" spans="1:8" ht="27" customHeight="1">
      <c r="A10" s="10">
        <v>2</v>
      </c>
      <c r="B10" s="204" t="s">
        <v>633</v>
      </c>
      <c r="C10" s="219">
        <v>145</v>
      </c>
      <c r="D10" s="219">
        <v>0</v>
      </c>
      <c r="E10" s="219">
        <v>98</v>
      </c>
      <c r="F10" s="219">
        <f>SUM(C10:E10)</f>
        <v>243</v>
      </c>
      <c r="G10" s="490">
        <v>243</v>
      </c>
      <c r="H10" s="203"/>
    </row>
    <row r="11" spans="1:8" ht="27.75" customHeight="1">
      <c r="A11" s="10">
        <v>3</v>
      </c>
      <c r="B11" s="204" t="s">
        <v>634</v>
      </c>
      <c r="C11" s="219">
        <v>62</v>
      </c>
      <c r="D11" s="219">
        <v>0</v>
      </c>
      <c r="E11" s="219">
        <v>33</v>
      </c>
      <c r="F11" s="219">
        <f>SUM(C11:E11)</f>
        <v>95</v>
      </c>
      <c r="G11" s="490">
        <v>95</v>
      </c>
      <c r="H11" s="203"/>
    </row>
    <row r="12" spans="1:8" ht="24" customHeight="1">
      <c r="A12" s="10">
        <v>4</v>
      </c>
      <c r="B12" s="204" t="s">
        <v>635</v>
      </c>
      <c r="C12" s="219">
        <v>150</v>
      </c>
      <c r="D12" s="219">
        <v>0</v>
      </c>
      <c r="E12" s="219">
        <v>109</v>
      </c>
      <c r="F12" s="219">
        <f>SUM(C12:E12)</f>
        <v>259</v>
      </c>
      <c r="G12" s="490">
        <v>259</v>
      </c>
      <c r="H12" s="203"/>
    </row>
    <row r="13" spans="1:8" ht="34.5" customHeight="1">
      <c r="A13" s="193"/>
      <c r="B13" s="204" t="s">
        <v>625</v>
      </c>
      <c r="C13" s="204">
        <f>SUM(C9:C12)</f>
        <v>498</v>
      </c>
      <c r="D13" s="204">
        <f>SUM(D9:D12)</f>
        <v>0</v>
      </c>
      <c r="E13" s="204">
        <f>SUM(E9:E12)</f>
        <v>370</v>
      </c>
      <c r="F13" s="204">
        <f>SUM(C13:E13)</f>
        <v>868</v>
      </c>
      <c r="G13" s="491">
        <v>868</v>
      </c>
      <c r="H13" s="106"/>
    </row>
    <row r="14" ht="12">
      <c r="B14" s="184"/>
    </row>
    <row r="15" spans="1:7" ht="12.75">
      <c r="A15" s="125" t="s">
        <v>296</v>
      </c>
      <c r="G15" s="439"/>
    </row>
    <row r="16" ht="12.75">
      <c r="A16" s="125"/>
    </row>
    <row r="17" ht="12.75">
      <c r="A17" s="125"/>
    </row>
    <row r="18" ht="12.75">
      <c r="A18" s="125"/>
    </row>
    <row r="19" ht="12.75">
      <c r="A19" s="125"/>
    </row>
    <row r="20" ht="12.75">
      <c r="A20" s="125"/>
    </row>
    <row r="21" spans="1:11" ht="15" customHeight="1">
      <c r="A21" s="125"/>
      <c r="I21" s="80"/>
      <c r="J21" s="80"/>
      <c r="K21" s="80"/>
    </row>
    <row r="22" spans="1:11" ht="15" customHeight="1">
      <c r="A22" s="125"/>
      <c r="I22" s="80"/>
      <c r="J22" s="80"/>
      <c r="K22" s="80"/>
    </row>
    <row r="23" spans="1:11" ht="15" customHeight="1">
      <c r="A23" s="125"/>
      <c r="I23" s="80"/>
      <c r="J23" s="80"/>
      <c r="K23" s="80"/>
    </row>
    <row r="24" spans="1:11" ht="12.75">
      <c r="A24" s="125"/>
      <c r="I24" s="3"/>
      <c r="J24" s="13"/>
      <c r="K24" s="13"/>
    </row>
    <row r="25" spans="9:15" ht="12.75">
      <c r="I25" s="13"/>
      <c r="J25" s="13"/>
      <c r="K25" s="13"/>
      <c r="L25" s="13"/>
      <c r="M25" s="13"/>
      <c r="N25" s="13"/>
      <c r="O25" s="13"/>
    </row>
    <row r="27" spans="1:8" ht="12.75">
      <c r="A27" s="13"/>
      <c r="B27" s="13"/>
      <c r="C27" s="13"/>
      <c r="D27" s="13"/>
      <c r="E27" s="13"/>
      <c r="F27" s="617" t="s">
        <v>13</v>
      </c>
      <c r="G27" s="617"/>
      <c r="H27" s="617"/>
    </row>
    <row r="28" spans="1:8" ht="12.75">
      <c r="A28" s="13"/>
      <c r="B28" s="13"/>
      <c r="C28" s="13"/>
      <c r="D28" s="13"/>
      <c r="E28" s="13"/>
      <c r="F28" s="617" t="s">
        <v>14</v>
      </c>
      <c r="G28" s="617"/>
      <c r="H28" s="617"/>
    </row>
    <row r="29" spans="1:8" ht="12.75">
      <c r="A29" s="13"/>
      <c r="B29" s="13"/>
      <c r="C29" s="13"/>
      <c r="D29" s="13"/>
      <c r="E29" s="13"/>
      <c r="F29" s="617" t="s">
        <v>89</v>
      </c>
      <c r="G29" s="617"/>
      <c r="H29" s="617"/>
    </row>
    <row r="30" spans="1:8" ht="12.75">
      <c r="A30" s="13" t="s">
        <v>12</v>
      </c>
      <c r="C30" s="13"/>
      <c r="D30" s="13"/>
      <c r="E30" s="13"/>
      <c r="F30" s="585" t="s">
        <v>86</v>
      </c>
      <c r="G30" s="585"/>
      <c r="H30" s="3"/>
    </row>
    <row r="31" spans="1:8" ht="12.75">
      <c r="A31" s="13"/>
      <c r="B31" s="13"/>
      <c r="C31" s="13"/>
      <c r="D31" s="13"/>
      <c r="E31" s="13"/>
      <c r="F31" s="13"/>
      <c r="G31" s="13"/>
      <c r="H31" s="13"/>
    </row>
  </sheetData>
  <sheetProtection/>
  <mergeCells count="8">
    <mergeCell ref="F29:H29"/>
    <mergeCell ref="F30:G30"/>
    <mergeCell ref="A1:G1"/>
    <mergeCell ref="A2:H2"/>
    <mergeCell ref="A4:H4"/>
    <mergeCell ref="G6:H6"/>
    <mergeCell ref="F28:H28"/>
    <mergeCell ref="F27:H2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view="pageBreakPreview" zoomScale="73" zoomScaleSheetLayoutView="73" zoomScalePageLayoutView="0" workbookViewId="0" topLeftCell="A1">
      <selection activeCell="O11" sqref="O11:R14"/>
    </sheetView>
  </sheetViews>
  <sheetFormatPr defaultColWidth="9.140625" defaultRowHeight="12.75"/>
  <cols>
    <col min="1" max="1" width="9.140625" style="1" customWidth="1"/>
    <col min="2" max="2" width="11.28125" style="1" customWidth="1"/>
    <col min="3" max="4" width="8.57421875" style="1" customWidth="1"/>
    <col min="5" max="5" width="8.7109375" style="1" customWidth="1"/>
    <col min="6" max="6" width="8.57421875" style="1" customWidth="1"/>
    <col min="7" max="7" width="9.7109375" style="1" customWidth="1"/>
    <col min="8" max="8" width="10.28125" style="1" customWidth="1"/>
    <col min="9" max="9" width="9.7109375" style="1" customWidth="1"/>
    <col min="10" max="10" width="9.28125" style="1" customWidth="1"/>
    <col min="11" max="11" width="7.00390625" style="1" customWidth="1"/>
    <col min="12" max="12" width="7.28125" style="1" customWidth="1"/>
    <col min="13" max="13" width="7.421875" style="1" customWidth="1"/>
    <col min="14" max="14" width="7.8515625" style="1" customWidth="1"/>
    <col min="15" max="15" width="11.421875" style="1" customWidth="1"/>
    <col min="16" max="16" width="12.28125" style="1" customWidth="1"/>
    <col min="17" max="17" width="11.57421875" style="1" customWidth="1"/>
    <col min="18" max="18" width="19.28125" style="1" customWidth="1"/>
    <col min="19" max="19" width="9.00390625" style="1" customWidth="1"/>
    <col min="20" max="20" width="9.140625" style="1" hidden="1" customWidth="1"/>
    <col min="21" max="16384" width="9.140625" style="1" customWidth="1"/>
  </cols>
  <sheetData>
    <row r="1" spans="7:19" s="2" customFormat="1" ht="15">
      <c r="G1" s="582" t="s">
        <v>0</v>
      </c>
      <c r="H1" s="582"/>
      <c r="I1" s="582"/>
      <c r="J1" s="582"/>
      <c r="K1" s="582"/>
      <c r="L1" s="582"/>
      <c r="M1" s="582"/>
      <c r="N1" s="29"/>
      <c r="O1" s="29"/>
      <c r="R1" s="723" t="s">
        <v>731</v>
      </c>
      <c r="S1" s="723"/>
    </row>
    <row r="2" spans="2:15" s="2" customFormat="1" ht="19.5">
      <c r="B2" s="83"/>
      <c r="E2" s="674" t="s">
        <v>841</v>
      </c>
      <c r="F2" s="674"/>
      <c r="G2" s="674"/>
      <c r="H2" s="674"/>
      <c r="I2" s="674"/>
      <c r="J2" s="674"/>
      <c r="K2" s="674"/>
      <c r="L2" s="674"/>
      <c r="M2" s="674"/>
      <c r="N2" s="674"/>
      <c r="O2" s="674"/>
    </row>
    <row r="3" spans="2:10" s="2" customFormat="1" ht="19.5">
      <c r="B3" s="81"/>
      <c r="C3" s="81"/>
      <c r="D3" s="81"/>
      <c r="E3" s="81"/>
      <c r="F3" s="81"/>
      <c r="G3" s="81"/>
      <c r="H3" s="81"/>
      <c r="I3" s="81"/>
      <c r="J3" s="81"/>
    </row>
    <row r="4" spans="2:20" ht="18">
      <c r="B4" s="859" t="s">
        <v>908</v>
      </c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</row>
    <row r="5" spans="3:20" ht="14.25">
      <c r="C5" s="57"/>
      <c r="D5" s="57"/>
      <c r="E5" s="57"/>
      <c r="F5" s="57"/>
      <c r="G5" s="57"/>
      <c r="H5" s="57"/>
      <c r="M5" s="57"/>
      <c r="N5" s="57"/>
      <c r="O5" s="57"/>
      <c r="P5" s="57"/>
      <c r="Q5" s="57"/>
      <c r="R5" s="57"/>
      <c r="S5" s="57"/>
      <c r="T5" s="57"/>
    </row>
    <row r="6" spans="1:2" ht="14.25">
      <c r="A6" s="13" t="s">
        <v>644</v>
      </c>
      <c r="B6" s="13"/>
    </row>
    <row r="7" ht="14.25">
      <c r="B7" s="59"/>
    </row>
    <row r="8" spans="1:18" s="60" customFormat="1" ht="45.75" customHeight="1">
      <c r="A8" s="553" t="s">
        <v>2</v>
      </c>
      <c r="B8" s="860" t="s">
        <v>3</v>
      </c>
      <c r="C8" s="880" t="s">
        <v>267</v>
      </c>
      <c r="D8" s="880"/>
      <c r="E8" s="880"/>
      <c r="F8" s="880"/>
      <c r="G8" s="862" t="s">
        <v>743</v>
      </c>
      <c r="H8" s="863"/>
      <c r="I8" s="863"/>
      <c r="J8" s="881"/>
      <c r="K8" s="862" t="s">
        <v>231</v>
      </c>
      <c r="L8" s="863"/>
      <c r="M8" s="863"/>
      <c r="N8" s="881"/>
      <c r="O8" s="862" t="s">
        <v>112</v>
      </c>
      <c r="P8" s="863"/>
      <c r="Q8" s="863"/>
      <c r="R8" s="864"/>
    </row>
    <row r="9" spans="1:18" s="61" customFormat="1" ht="62.25" customHeight="1">
      <c r="A9" s="553"/>
      <c r="B9" s="861"/>
      <c r="C9" s="66" t="s">
        <v>98</v>
      </c>
      <c r="D9" s="66" t="s">
        <v>673</v>
      </c>
      <c r="E9" s="66" t="s">
        <v>674</v>
      </c>
      <c r="F9" s="66" t="s">
        <v>19</v>
      </c>
      <c r="G9" s="66" t="s">
        <v>98</v>
      </c>
      <c r="H9" s="66" t="s">
        <v>673</v>
      </c>
      <c r="I9" s="66" t="s">
        <v>674</v>
      </c>
      <c r="J9" s="66" t="s">
        <v>19</v>
      </c>
      <c r="K9" s="66" t="s">
        <v>98</v>
      </c>
      <c r="L9" s="66" t="s">
        <v>102</v>
      </c>
      <c r="M9" s="66" t="s">
        <v>103</v>
      </c>
      <c r="N9" s="66" t="s">
        <v>19</v>
      </c>
      <c r="O9" s="66" t="s">
        <v>158</v>
      </c>
      <c r="P9" s="66" t="s">
        <v>159</v>
      </c>
      <c r="Q9" s="102" t="s">
        <v>160</v>
      </c>
      <c r="R9" s="66" t="s">
        <v>161</v>
      </c>
    </row>
    <row r="10" spans="1:18" s="104" customFormat="1" ht="15.75" customHeight="1">
      <c r="A10" s="6">
        <v>1</v>
      </c>
      <c r="B10" s="65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  <c r="R10" s="65">
        <v>18</v>
      </c>
    </row>
    <row r="11" spans="1:18" s="104" customFormat="1" ht="33.75" customHeight="1">
      <c r="A11" s="209">
        <v>1</v>
      </c>
      <c r="B11" s="224" t="s">
        <v>632</v>
      </c>
      <c r="C11" s="73"/>
      <c r="D11" s="73"/>
      <c r="E11" s="73"/>
      <c r="F11" s="73"/>
      <c r="G11" s="73"/>
      <c r="H11" s="73"/>
      <c r="I11" s="73"/>
      <c r="J11" s="73"/>
      <c r="K11" s="239"/>
      <c r="L11" s="239"/>
      <c r="M11" s="239"/>
      <c r="N11" s="239"/>
      <c r="O11" s="865"/>
      <c r="P11" s="866"/>
      <c r="Q11" s="866"/>
      <c r="R11" s="867"/>
    </row>
    <row r="12" spans="1:18" s="104" customFormat="1" ht="29.25" customHeight="1">
      <c r="A12" s="209">
        <v>2</v>
      </c>
      <c r="B12" s="224" t="s">
        <v>633</v>
      </c>
      <c r="C12" s="73"/>
      <c r="D12" s="73"/>
      <c r="E12" s="874" t="s">
        <v>940</v>
      </c>
      <c r="F12" s="875"/>
      <c r="G12" s="875"/>
      <c r="H12" s="875"/>
      <c r="I12" s="875"/>
      <c r="J12" s="875"/>
      <c r="K12" s="875"/>
      <c r="L12" s="875"/>
      <c r="M12" s="875"/>
      <c r="N12" s="876"/>
      <c r="O12" s="868"/>
      <c r="P12" s="869"/>
      <c r="Q12" s="869"/>
      <c r="R12" s="870"/>
    </row>
    <row r="13" spans="1:18" s="104" customFormat="1" ht="26.25" customHeight="1">
      <c r="A13" s="209">
        <v>3</v>
      </c>
      <c r="B13" s="224" t="s">
        <v>634</v>
      </c>
      <c r="C13" s="73"/>
      <c r="D13" s="73"/>
      <c r="E13" s="877"/>
      <c r="F13" s="878"/>
      <c r="G13" s="878"/>
      <c r="H13" s="878"/>
      <c r="I13" s="878"/>
      <c r="J13" s="878"/>
      <c r="K13" s="878"/>
      <c r="L13" s="878"/>
      <c r="M13" s="878"/>
      <c r="N13" s="879"/>
      <c r="O13" s="868"/>
      <c r="P13" s="869"/>
      <c r="Q13" s="869"/>
      <c r="R13" s="870"/>
    </row>
    <row r="14" spans="1:18" s="104" customFormat="1" ht="31.5" customHeight="1">
      <c r="A14" s="209">
        <v>4</v>
      </c>
      <c r="B14" s="224" t="s">
        <v>635</v>
      </c>
      <c r="C14" s="73"/>
      <c r="D14" s="73"/>
      <c r="E14" s="73"/>
      <c r="F14" s="267"/>
      <c r="G14" s="73"/>
      <c r="H14" s="73"/>
      <c r="I14" s="73"/>
      <c r="J14" s="73"/>
      <c r="K14" s="239"/>
      <c r="L14" s="239"/>
      <c r="M14" s="239"/>
      <c r="N14" s="239"/>
      <c r="O14" s="871"/>
      <c r="P14" s="872"/>
      <c r="Q14" s="872"/>
      <c r="R14" s="873"/>
    </row>
    <row r="15" spans="1:18" s="104" customFormat="1" ht="37.5" customHeight="1">
      <c r="A15" s="226" t="s">
        <v>19</v>
      </c>
      <c r="B15" s="227"/>
      <c r="C15" s="268">
        <f aca="true" t="shared" si="0" ref="C15:M15">SUM(C11:C14)</f>
        <v>0</v>
      </c>
      <c r="D15" s="268">
        <f t="shared" si="0"/>
        <v>0</v>
      </c>
      <c r="E15" s="268">
        <f t="shared" si="0"/>
        <v>0</v>
      </c>
      <c r="F15" s="268">
        <f t="shared" si="0"/>
        <v>0</v>
      </c>
      <c r="G15" s="268">
        <f t="shared" si="0"/>
        <v>0</v>
      </c>
      <c r="H15" s="268">
        <f t="shared" si="0"/>
        <v>0</v>
      </c>
      <c r="I15" s="268">
        <f t="shared" si="0"/>
        <v>0</v>
      </c>
      <c r="J15" s="268">
        <f t="shared" si="0"/>
        <v>0</v>
      </c>
      <c r="K15" s="228">
        <f t="shared" si="0"/>
        <v>0</v>
      </c>
      <c r="L15" s="228">
        <f t="shared" si="0"/>
        <v>0</v>
      </c>
      <c r="M15" s="228">
        <f t="shared" si="0"/>
        <v>0</v>
      </c>
      <c r="N15" s="228">
        <f>SUM(K15:M15)</f>
        <v>0</v>
      </c>
      <c r="O15" s="225">
        <f>SUM(O11:O14)</f>
        <v>0</v>
      </c>
      <c r="P15" s="225">
        <f>SUM(P11:P14)</f>
        <v>0</v>
      </c>
      <c r="Q15" s="225">
        <f>SUM(Q11:Q14)</f>
        <v>0</v>
      </c>
      <c r="R15" s="228">
        <f>SUM(O15:Q15)</f>
        <v>0</v>
      </c>
    </row>
    <row r="16" spans="1:18" s="104" customFormat="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104" customFormat="1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104" customFormat="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104" customFormat="1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104" customFormat="1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104" customFormat="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ht="14.25">
      <c r="S22" s="104"/>
    </row>
    <row r="23" ht="14.25">
      <c r="S23" s="104"/>
    </row>
    <row r="24" ht="14.25">
      <c r="S24" s="104"/>
    </row>
    <row r="25" ht="14.25">
      <c r="S25" s="104"/>
    </row>
    <row r="26" spans="1:45" s="62" customFormat="1" ht="14.25">
      <c r="A26" s="13" t="s">
        <v>12</v>
      </c>
      <c r="B26" s="2"/>
      <c r="C26" s="2"/>
      <c r="D26" s="2"/>
      <c r="E26" s="2"/>
      <c r="F26" s="2"/>
      <c r="G26" s="13"/>
      <c r="H26" s="13"/>
      <c r="I26" s="2"/>
      <c r="J26" s="2"/>
      <c r="K26" s="13"/>
      <c r="L26" s="13"/>
      <c r="M26" s="13"/>
      <c r="N26" s="13"/>
      <c r="O26" s="13"/>
      <c r="P26" s="13"/>
      <c r="Q26" s="13"/>
      <c r="R26" s="80" t="s">
        <v>13</v>
      </c>
      <c r="S26" s="10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19" ht="14.25">
      <c r="A27" s="2"/>
      <c r="B27" s="2"/>
      <c r="C27" s="2"/>
      <c r="D27" s="2"/>
      <c r="E27" s="2"/>
      <c r="F27" s="2"/>
      <c r="G27" s="2"/>
      <c r="H27" s="697" t="s">
        <v>14</v>
      </c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7"/>
    </row>
    <row r="28" spans="1:19" ht="14.25">
      <c r="A28" s="2"/>
      <c r="B28" s="2"/>
      <c r="C28" s="2"/>
      <c r="D28" s="2"/>
      <c r="E28" s="2"/>
      <c r="F28" s="2"/>
      <c r="G28" s="2"/>
      <c r="H28" s="697" t="s">
        <v>89</v>
      </c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</row>
    <row r="29" spans="1:19" ht="14.25">
      <c r="A29" s="13"/>
      <c r="B29" s="13"/>
      <c r="C29" s="2"/>
      <c r="D29" s="2"/>
      <c r="E29" s="2"/>
      <c r="F29" s="2"/>
      <c r="G29" s="2"/>
      <c r="H29" s="2"/>
      <c r="I29" s="2"/>
      <c r="J29" s="2"/>
      <c r="K29" s="13"/>
      <c r="L29" s="13"/>
      <c r="M29" s="13"/>
      <c r="N29" s="13"/>
      <c r="O29" s="13"/>
      <c r="P29" s="13"/>
      <c r="Q29" s="24" t="s">
        <v>86</v>
      </c>
      <c r="R29" s="24"/>
      <c r="S29" s="104"/>
    </row>
    <row r="30" spans="1:19" s="2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2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2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2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8" ht="14.25">
      <c r="S38" s="80"/>
    </row>
    <row r="39" ht="14.25">
      <c r="S39" s="14"/>
    </row>
    <row r="40" ht="14.25">
      <c r="S40" s="14"/>
    </row>
    <row r="41" ht="14.25">
      <c r="S41" s="24"/>
    </row>
  </sheetData>
  <sheetProtection/>
  <mergeCells count="14">
    <mergeCell ref="G1:M1"/>
    <mergeCell ref="E2:O2"/>
    <mergeCell ref="R1:S1"/>
    <mergeCell ref="C8:F8"/>
    <mergeCell ref="K8:N8"/>
    <mergeCell ref="G8:J8"/>
    <mergeCell ref="H27:S27"/>
    <mergeCell ref="H28:S28"/>
    <mergeCell ref="A8:A9"/>
    <mergeCell ref="B4:T4"/>
    <mergeCell ref="B8:B9"/>
    <mergeCell ref="O8:R8"/>
    <mergeCell ref="O11:R14"/>
    <mergeCell ref="E12:N13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63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view="pageBreakPreview" zoomScale="80" zoomScaleSheetLayoutView="80" zoomScalePageLayoutView="0" workbookViewId="0" topLeftCell="A1">
      <selection activeCell="M13" sqref="M13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15.421875" style="1" customWidth="1"/>
    <col min="4" max="4" width="14.8515625" style="1" customWidth="1"/>
    <col min="5" max="5" width="11.8515625" style="1" customWidth="1"/>
    <col min="6" max="6" width="9.8515625" style="1" customWidth="1"/>
    <col min="7" max="7" width="12.7109375" style="1" customWidth="1"/>
    <col min="8" max="9" width="11.00390625" style="1" customWidth="1"/>
    <col min="10" max="10" width="14.140625" style="1" customWidth="1"/>
    <col min="11" max="11" width="12.28125" style="1" customWidth="1"/>
    <col min="12" max="12" width="13.140625" style="1" customWidth="1"/>
    <col min="13" max="13" width="9.7109375" style="1" customWidth="1"/>
    <col min="14" max="14" width="9.57421875" style="1" customWidth="1"/>
    <col min="15" max="15" width="12.7109375" style="1" customWidth="1"/>
    <col min="16" max="16" width="13.28125" style="1" customWidth="1"/>
    <col min="17" max="17" width="11.28125" style="1" customWidth="1"/>
    <col min="18" max="18" width="9.28125" style="1" customWidth="1"/>
    <col min="19" max="19" width="9.140625" style="1" customWidth="1"/>
    <col min="20" max="20" width="12.28125" style="1" customWidth="1"/>
    <col min="21" max="16384" width="9.140625" style="1" customWidth="1"/>
  </cols>
  <sheetData>
    <row r="1" spans="3:18" s="2" customFormat="1" ht="15">
      <c r="C1" s="34"/>
      <c r="D1" s="34"/>
      <c r="E1" s="34"/>
      <c r="F1" s="34"/>
      <c r="G1" s="34"/>
      <c r="H1" s="34"/>
      <c r="I1" s="12" t="s">
        <v>0</v>
      </c>
      <c r="J1" s="34"/>
      <c r="Q1" s="723" t="s">
        <v>732</v>
      </c>
      <c r="R1" s="723"/>
    </row>
    <row r="2" spans="7:17" s="2" customFormat="1" ht="19.5">
      <c r="G2" s="674" t="s">
        <v>841</v>
      </c>
      <c r="H2" s="674"/>
      <c r="I2" s="674"/>
      <c r="J2" s="674"/>
      <c r="K2" s="674"/>
      <c r="L2" s="674"/>
      <c r="M2" s="674"/>
      <c r="N2" s="33"/>
      <c r="O2" s="33"/>
      <c r="P2" s="33"/>
      <c r="Q2" s="33"/>
    </row>
    <row r="3" spans="7:17" s="2" customFormat="1" ht="19.5">
      <c r="G3" s="81"/>
      <c r="H3" s="81"/>
      <c r="I3" s="81"/>
      <c r="J3" s="81"/>
      <c r="K3" s="81"/>
      <c r="L3" s="81"/>
      <c r="M3" s="81"/>
      <c r="N3" s="33"/>
      <c r="O3" s="33"/>
      <c r="P3" s="33"/>
      <c r="Q3" s="33"/>
    </row>
    <row r="4" spans="2:20" ht="18">
      <c r="B4" s="859" t="s">
        <v>909</v>
      </c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86"/>
    </row>
    <row r="5" spans="3:20" ht="15">
      <c r="C5" s="57"/>
      <c r="D5" s="5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ht="14.25">
      <c r="A6" s="67" t="s">
        <v>650</v>
      </c>
    </row>
    <row r="7" spans="2:17" ht="14.25">
      <c r="B7" s="59"/>
      <c r="Q7" s="77" t="s">
        <v>154</v>
      </c>
    </row>
    <row r="8" spans="1:19" s="60" customFormat="1" ht="32.25" customHeight="1">
      <c r="A8" s="553" t="s">
        <v>2</v>
      </c>
      <c r="B8" s="860" t="s">
        <v>3</v>
      </c>
      <c r="C8" s="880" t="s">
        <v>494</v>
      </c>
      <c r="D8" s="880"/>
      <c r="E8" s="880"/>
      <c r="F8" s="880"/>
      <c r="G8" s="880" t="s">
        <v>495</v>
      </c>
      <c r="H8" s="880"/>
      <c r="I8" s="880"/>
      <c r="J8" s="880"/>
      <c r="K8" s="880" t="s">
        <v>496</v>
      </c>
      <c r="L8" s="880"/>
      <c r="M8" s="880"/>
      <c r="N8" s="880"/>
      <c r="O8" s="880" t="s">
        <v>497</v>
      </c>
      <c r="P8" s="880"/>
      <c r="Q8" s="880"/>
      <c r="R8" s="860"/>
      <c r="S8" s="882" t="s">
        <v>180</v>
      </c>
    </row>
    <row r="9" spans="1:19" s="61" customFormat="1" ht="75" customHeight="1">
      <c r="A9" s="553"/>
      <c r="B9" s="861"/>
      <c r="C9" s="66" t="s">
        <v>177</v>
      </c>
      <c r="D9" s="85" t="s">
        <v>179</v>
      </c>
      <c r="E9" s="66" t="s">
        <v>153</v>
      </c>
      <c r="F9" s="85" t="s">
        <v>178</v>
      </c>
      <c r="G9" s="66" t="s">
        <v>268</v>
      </c>
      <c r="H9" s="85" t="s">
        <v>179</v>
      </c>
      <c r="I9" s="66" t="s">
        <v>153</v>
      </c>
      <c r="J9" s="85" t="s">
        <v>178</v>
      </c>
      <c r="K9" s="66" t="s">
        <v>268</v>
      </c>
      <c r="L9" s="85" t="s">
        <v>179</v>
      </c>
      <c r="M9" s="66" t="s">
        <v>153</v>
      </c>
      <c r="N9" s="85" t="s">
        <v>178</v>
      </c>
      <c r="O9" s="66" t="s">
        <v>268</v>
      </c>
      <c r="P9" s="85" t="s">
        <v>179</v>
      </c>
      <c r="Q9" s="66" t="s">
        <v>153</v>
      </c>
      <c r="R9" s="86" t="s">
        <v>178</v>
      </c>
      <c r="S9" s="882"/>
    </row>
    <row r="10" spans="1:19" s="61" customFormat="1" ht="15.75" customHeight="1">
      <c r="A10" s="6">
        <v>1</v>
      </c>
      <c r="B10" s="65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  <c r="P10" s="56">
        <v>16</v>
      </c>
      <c r="Q10" s="56">
        <v>17</v>
      </c>
      <c r="R10" s="78">
        <v>18</v>
      </c>
      <c r="S10" s="84">
        <v>19</v>
      </c>
    </row>
    <row r="11" spans="1:19" s="61" customFormat="1" ht="46.5" customHeight="1">
      <c r="A11" s="209">
        <v>1</v>
      </c>
      <c r="B11" s="224" t="s">
        <v>632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2"/>
      <c r="S11" s="243"/>
    </row>
    <row r="12" spans="1:19" s="61" customFormat="1" ht="42.75" customHeight="1">
      <c r="A12" s="209">
        <v>2</v>
      </c>
      <c r="B12" s="224" t="s">
        <v>633</v>
      </c>
      <c r="C12" s="241"/>
      <c r="D12" s="883" t="s">
        <v>670</v>
      </c>
      <c r="E12" s="884"/>
      <c r="F12" s="884"/>
      <c r="G12" s="884"/>
      <c r="H12" s="884"/>
      <c r="I12" s="884"/>
      <c r="J12" s="884"/>
      <c r="K12" s="884"/>
      <c r="L12" s="884"/>
      <c r="M12" s="884"/>
      <c r="N12" s="885"/>
      <c r="O12" s="241"/>
      <c r="P12" s="241"/>
      <c r="Q12" s="241"/>
      <c r="R12" s="242"/>
      <c r="S12" s="243"/>
    </row>
    <row r="13" spans="1:19" s="61" customFormat="1" ht="33" customHeight="1">
      <c r="A13" s="209">
        <v>3</v>
      </c>
      <c r="B13" s="224" t="s">
        <v>634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  <c r="S13" s="243"/>
    </row>
    <row r="14" spans="1:19" s="61" customFormat="1" ht="38.25" customHeight="1">
      <c r="A14" s="209">
        <v>4</v>
      </c>
      <c r="B14" s="224" t="s">
        <v>635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2"/>
      <c r="S14" s="243"/>
    </row>
    <row r="15" spans="1:19" s="61" customFormat="1" ht="41.25" customHeight="1">
      <c r="A15" s="154" t="s">
        <v>19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s="61" customFormat="1" ht="15.75" customHeight="1">
      <c r="A16" s="147" t="s">
        <v>533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61" customFormat="1" ht="15.75" customHeight="1">
      <c r="A17" s="14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14.25">
      <c r="A18" s="147"/>
    </row>
    <row r="19" ht="14.25">
      <c r="A19" s="147"/>
    </row>
    <row r="20" ht="14.25">
      <c r="A20" s="147"/>
    </row>
    <row r="21" ht="14.25">
      <c r="A21" s="147"/>
    </row>
    <row r="22" spans="1:45" s="62" customFormat="1" ht="14.25">
      <c r="A22" s="14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ht="14.25">
      <c r="A23" s="147"/>
    </row>
    <row r="24" ht="14.25">
      <c r="A24" s="147"/>
    </row>
    <row r="25" spans="1:19" ht="14.25">
      <c r="A25" s="13" t="s">
        <v>12</v>
      </c>
      <c r="B25" s="2"/>
      <c r="C25" s="2"/>
      <c r="D25" s="2"/>
      <c r="E25" s="2"/>
      <c r="F25" s="2"/>
      <c r="G25" s="13"/>
      <c r="H25" s="13"/>
      <c r="I25" s="2"/>
      <c r="J25" s="2"/>
      <c r="K25" s="13"/>
      <c r="L25" s="13"/>
      <c r="M25" s="13"/>
      <c r="N25" s="13"/>
      <c r="O25" s="13"/>
      <c r="P25" s="13"/>
      <c r="Q25" s="13"/>
      <c r="R25" s="602" t="s">
        <v>13</v>
      </c>
      <c r="S25" s="602"/>
    </row>
    <row r="26" spans="1:19" ht="14.25">
      <c r="A26" s="2"/>
      <c r="B26" s="2"/>
      <c r="C26" s="2"/>
      <c r="D26" s="2"/>
      <c r="E26" s="2"/>
      <c r="F26" s="2"/>
      <c r="G26" s="2"/>
      <c r="H26" s="2"/>
      <c r="I26" s="2"/>
      <c r="J26" s="13"/>
      <c r="K26" s="697" t="s">
        <v>14</v>
      </c>
      <c r="L26" s="697"/>
      <c r="M26" s="697"/>
      <c r="N26" s="697"/>
      <c r="O26" s="697"/>
      <c r="P26" s="697"/>
      <c r="Q26" s="697"/>
      <c r="R26" s="697"/>
      <c r="S26" s="697"/>
    </row>
    <row r="27" spans="1:19" ht="14.25">
      <c r="A27" s="2"/>
      <c r="B27" s="2"/>
      <c r="C27" s="2"/>
      <c r="D27" s="2"/>
      <c r="E27" s="2"/>
      <c r="F27" s="2"/>
      <c r="G27" s="2"/>
      <c r="H27" s="2"/>
      <c r="I27" s="2"/>
      <c r="J27" s="697" t="s">
        <v>89</v>
      </c>
      <c r="K27" s="697"/>
      <c r="L27" s="697"/>
      <c r="M27" s="697"/>
      <c r="N27" s="697"/>
      <c r="O27" s="697"/>
      <c r="P27" s="697"/>
      <c r="Q27" s="697"/>
      <c r="R27" s="697"/>
      <c r="S27" s="697"/>
    </row>
    <row r="28" spans="1:19" ht="14.25">
      <c r="A28" s="13"/>
      <c r="B28" s="13"/>
      <c r="C28" s="2"/>
      <c r="D28" s="2"/>
      <c r="E28" s="2"/>
      <c r="F28" s="2"/>
      <c r="G28" s="2"/>
      <c r="H28" s="2"/>
      <c r="I28" s="2"/>
      <c r="J28" s="2"/>
      <c r="K28" s="13"/>
      <c r="L28" s="13"/>
      <c r="M28" s="13"/>
      <c r="N28" s="13"/>
      <c r="O28" s="13"/>
      <c r="P28" s="13"/>
      <c r="Q28" s="579" t="s">
        <v>86</v>
      </c>
      <c r="R28" s="579"/>
      <c r="S28" s="579"/>
    </row>
    <row r="29" spans="1:19" s="2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2" customFormat="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2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2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/>
  <mergeCells count="15">
    <mergeCell ref="Q1:R1"/>
    <mergeCell ref="B4:T4"/>
    <mergeCell ref="R25:S25"/>
    <mergeCell ref="K26:S26"/>
    <mergeCell ref="G2:M2"/>
    <mergeCell ref="A8:A9"/>
    <mergeCell ref="B8:B9"/>
    <mergeCell ref="C8:F8"/>
    <mergeCell ref="G8:J8"/>
    <mergeCell ref="K8:N8"/>
    <mergeCell ref="Q28:S28"/>
    <mergeCell ref="J27:S27"/>
    <mergeCell ref="S8:S9"/>
    <mergeCell ref="O8:R8"/>
    <mergeCell ref="D12:N12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6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5">
      <selection activeCell="D14" sqref="D14"/>
    </sheetView>
  </sheetViews>
  <sheetFormatPr defaultColWidth="9.140625" defaultRowHeight="12.75"/>
  <cols>
    <col min="2" max="2" width="15.140625" style="0" customWidth="1"/>
    <col min="3" max="3" width="23.8515625" style="0" customWidth="1"/>
    <col min="4" max="4" width="31.8515625" style="0" customWidth="1"/>
    <col min="5" max="6" width="17.00390625" style="0" customWidth="1"/>
    <col min="7" max="7" width="23.57421875" style="0" customWidth="1"/>
  </cols>
  <sheetData>
    <row r="1" spans="1:16" ht="15">
      <c r="A1" s="582" t="s">
        <v>850</v>
      </c>
      <c r="B1" s="582"/>
      <c r="C1" s="582"/>
      <c r="D1" s="582"/>
      <c r="E1" s="582"/>
      <c r="F1" s="582"/>
      <c r="G1" s="723" t="s">
        <v>732</v>
      </c>
      <c r="H1" s="723"/>
      <c r="M1" s="2"/>
      <c r="N1" s="2"/>
      <c r="O1" s="2"/>
      <c r="P1" s="2"/>
    </row>
    <row r="2" spans="1:18" ht="19.5">
      <c r="A2" s="674" t="s">
        <v>841</v>
      </c>
      <c r="B2" s="674"/>
      <c r="C2" s="674"/>
      <c r="D2" s="674"/>
      <c r="E2" s="674"/>
      <c r="F2" s="674"/>
      <c r="G2" s="674"/>
      <c r="H2" s="674"/>
      <c r="I2" s="674"/>
      <c r="J2" s="674"/>
      <c r="N2" s="33"/>
      <c r="O2" s="33"/>
      <c r="P2" s="33"/>
      <c r="Q2" s="33"/>
      <c r="R2" s="2"/>
    </row>
    <row r="3" spans="1:18" ht="19.5">
      <c r="A3" s="2"/>
      <c r="B3" s="2"/>
      <c r="C3" s="2"/>
      <c r="D3" s="2"/>
      <c r="E3" s="2"/>
      <c r="F3" s="2"/>
      <c r="G3" s="81"/>
      <c r="H3" s="81"/>
      <c r="I3" s="81"/>
      <c r="J3" s="81"/>
      <c r="K3" s="81"/>
      <c r="L3" s="81"/>
      <c r="M3" s="81"/>
      <c r="N3" s="33"/>
      <c r="O3" s="33"/>
      <c r="P3" s="33"/>
      <c r="Q3" s="33"/>
      <c r="R3" s="2"/>
    </row>
    <row r="4" spans="1:8" ht="18">
      <c r="A4" s="1"/>
      <c r="B4" s="378" t="s">
        <v>844</v>
      </c>
      <c r="C4" s="378"/>
      <c r="D4" s="378"/>
      <c r="E4" s="378"/>
      <c r="F4" s="378"/>
      <c r="G4" s="378"/>
      <c r="H4" s="378"/>
    </row>
    <row r="5" spans="1:8" ht="15">
      <c r="A5" s="1"/>
      <c r="B5" s="1"/>
      <c r="C5" s="57"/>
      <c r="D5" s="58"/>
      <c r="E5" s="57"/>
      <c r="F5" s="57"/>
      <c r="G5" s="57"/>
      <c r="H5" s="57"/>
    </row>
    <row r="6" spans="1:8" ht="14.25">
      <c r="A6" s="67" t="s">
        <v>685</v>
      </c>
      <c r="B6" s="1"/>
      <c r="C6" s="1"/>
      <c r="D6" s="1"/>
      <c r="E6" s="1"/>
      <c r="F6" s="1"/>
      <c r="G6" s="1"/>
      <c r="H6" s="1"/>
    </row>
    <row r="7" spans="1:8" ht="14.25">
      <c r="A7" s="1"/>
      <c r="B7" s="255"/>
      <c r="C7" s="1"/>
      <c r="D7" s="1"/>
      <c r="E7" s="1"/>
      <c r="F7" s="1"/>
      <c r="G7" s="1"/>
      <c r="H7" s="1"/>
    </row>
    <row r="8" spans="1:8" ht="27.75" customHeight="1">
      <c r="A8" s="898" t="s">
        <v>2</v>
      </c>
      <c r="B8" s="899" t="s">
        <v>3</v>
      </c>
      <c r="C8" s="899" t="s">
        <v>845</v>
      </c>
      <c r="D8" s="887" t="s">
        <v>846</v>
      </c>
      <c r="E8" s="889" t="s">
        <v>847</v>
      </c>
      <c r="F8" s="890"/>
      <c r="G8" s="891"/>
      <c r="H8" s="61"/>
    </row>
    <row r="9" spans="1:8" ht="40.5" customHeight="1">
      <c r="A9" s="898"/>
      <c r="B9" s="899"/>
      <c r="C9" s="899"/>
      <c r="D9" s="888"/>
      <c r="E9" s="375" t="s">
        <v>848</v>
      </c>
      <c r="F9" s="375" t="s">
        <v>849</v>
      </c>
      <c r="G9" s="375" t="s">
        <v>19</v>
      </c>
      <c r="H9" s="61"/>
    </row>
    <row r="10" spans="1:8" ht="14.25">
      <c r="A10" s="49">
        <v>1</v>
      </c>
      <c r="B10" s="376">
        <v>2</v>
      </c>
      <c r="C10" s="376">
        <v>3</v>
      </c>
      <c r="D10" s="376">
        <v>4</v>
      </c>
      <c r="E10" s="377">
        <v>5</v>
      </c>
      <c r="F10" s="377">
        <v>6</v>
      </c>
      <c r="G10" s="377">
        <v>7</v>
      </c>
      <c r="H10" s="61"/>
    </row>
    <row r="11" spans="1:8" ht="31.5" customHeight="1">
      <c r="A11" s="209">
        <v>1</v>
      </c>
      <c r="B11" s="225" t="s">
        <v>632</v>
      </c>
      <c r="C11" s="241"/>
      <c r="D11" s="241"/>
      <c r="E11" s="241"/>
      <c r="F11" s="241"/>
      <c r="G11" s="241"/>
      <c r="H11" s="61"/>
    </row>
    <row r="12" spans="1:8" ht="31.5" customHeight="1">
      <c r="A12" s="209">
        <v>2</v>
      </c>
      <c r="B12" s="225" t="s">
        <v>633</v>
      </c>
      <c r="C12" s="892" t="s">
        <v>941</v>
      </c>
      <c r="D12" s="893"/>
      <c r="E12" s="894"/>
      <c r="F12" s="241"/>
      <c r="G12" s="241"/>
      <c r="H12" s="61"/>
    </row>
    <row r="13" spans="1:8" ht="31.5" customHeight="1">
      <c r="A13" s="209">
        <v>3</v>
      </c>
      <c r="B13" s="225" t="s">
        <v>634</v>
      </c>
      <c r="C13" s="895"/>
      <c r="D13" s="896"/>
      <c r="E13" s="897"/>
      <c r="F13" s="241"/>
      <c r="G13" s="241"/>
      <c r="H13" s="61"/>
    </row>
    <row r="14" spans="1:8" ht="32.25" customHeight="1">
      <c r="A14" s="209">
        <v>4</v>
      </c>
      <c r="B14" s="225" t="s">
        <v>635</v>
      </c>
      <c r="C14" s="241"/>
      <c r="D14" s="241"/>
      <c r="E14" s="241"/>
      <c r="F14" s="241"/>
      <c r="G14" s="241"/>
      <c r="H14" s="61"/>
    </row>
    <row r="15" spans="1:8" ht="32.25" customHeight="1">
      <c r="A15" s="381" t="s">
        <v>19</v>
      </c>
      <c r="B15" s="382"/>
      <c r="C15" s="382"/>
      <c r="D15" s="382"/>
      <c r="E15" s="382"/>
      <c r="F15" s="382"/>
      <c r="G15" s="382"/>
      <c r="H15" s="61"/>
    </row>
    <row r="16" spans="1:8" ht="51" customHeight="1">
      <c r="A16" s="147"/>
      <c r="B16" s="1"/>
      <c r="C16" s="1"/>
      <c r="D16" s="1"/>
      <c r="E16" s="1"/>
      <c r="F16" s="1"/>
      <c r="G16" s="1"/>
      <c r="H16" s="61"/>
    </row>
    <row r="17" spans="1:8" ht="35.25" customHeight="1">
      <c r="A17" s="13" t="s">
        <v>12</v>
      </c>
      <c r="B17" s="2"/>
      <c r="C17" s="2"/>
      <c r="D17" s="2"/>
      <c r="E17" s="2"/>
      <c r="F17" s="2"/>
      <c r="G17" s="13"/>
      <c r="H17" s="61"/>
    </row>
    <row r="18" spans="1:8" ht="14.25">
      <c r="A18" s="13"/>
      <c r="B18" s="13"/>
      <c r="C18" s="2"/>
      <c r="D18" s="2"/>
      <c r="E18" s="2"/>
      <c r="F18" s="2"/>
      <c r="G18" s="2"/>
      <c r="H18" s="1"/>
    </row>
    <row r="19" spans="1:8" ht="14.25">
      <c r="A19" s="1"/>
      <c r="B19" s="1"/>
      <c r="C19" s="1"/>
      <c r="D19" s="1"/>
      <c r="E19" s="1"/>
      <c r="F19" s="602" t="s">
        <v>13</v>
      </c>
      <c r="G19" s="602"/>
      <c r="H19" s="1"/>
    </row>
    <row r="20" spans="1:8" ht="14.25">
      <c r="A20" s="13"/>
      <c r="B20" s="1"/>
      <c r="C20" s="13"/>
      <c r="D20" s="13"/>
      <c r="E20" s="697" t="s">
        <v>14</v>
      </c>
      <c r="F20" s="697"/>
      <c r="G20" s="697"/>
      <c r="H20" s="1"/>
    </row>
    <row r="21" spans="1:8" ht="14.25">
      <c r="A21" s="1"/>
      <c r="B21" s="13"/>
      <c r="C21" s="13"/>
      <c r="D21" s="13"/>
      <c r="E21" s="697" t="s">
        <v>89</v>
      </c>
      <c r="F21" s="697"/>
      <c r="G21" s="697"/>
      <c r="H21" s="1"/>
    </row>
    <row r="22" spans="1:8" ht="14.25">
      <c r="A22" s="2"/>
      <c r="B22" s="13"/>
      <c r="C22" s="13"/>
      <c r="D22" s="13"/>
      <c r="E22" s="579" t="s">
        <v>86</v>
      </c>
      <c r="F22" s="579"/>
      <c r="G22" s="579"/>
      <c r="H22" s="1"/>
    </row>
    <row r="23" ht="14.25">
      <c r="H23" s="1"/>
    </row>
    <row r="24" ht="14.25">
      <c r="H24" s="1"/>
    </row>
    <row r="25" ht="14.25">
      <c r="H25" s="1"/>
    </row>
    <row r="26" ht="14.25">
      <c r="H26" s="1"/>
    </row>
    <row r="27" ht="14.25">
      <c r="H27" s="1"/>
    </row>
    <row r="28" ht="14.25">
      <c r="H28" s="1"/>
    </row>
    <row r="29" ht="12">
      <c r="H29" s="2"/>
    </row>
    <row r="30" ht="12">
      <c r="H30" s="2"/>
    </row>
    <row r="31" ht="14.25">
      <c r="H31" s="1"/>
    </row>
    <row r="32" ht="12.75">
      <c r="H32" s="13"/>
    </row>
    <row r="33" ht="12.75">
      <c r="H33" s="13"/>
    </row>
    <row r="34" ht="14.25">
      <c r="H34" s="1"/>
    </row>
  </sheetData>
  <sheetProtection/>
  <mergeCells count="13">
    <mergeCell ref="A8:A9"/>
    <mergeCell ref="B8:B9"/>
    <mergeCell ref="C8:C9"/>
    <mergeCell ref="D8:D9"/>
    <mergeCell ref="E8:G8"/>
    <mergeCell ref="C12:E13"/>
    <mergeCell ref="F19:G19"/>
    <mergeCell ref="E22:G22"/>
    <mergeCell ref="G1:H1"/>
    <mergeCell ref="A2:J2"/>
    <mergeCell ref="A1:F1"/>
    <mergeCell ref="E20:G20"/>
    <mergeCell ref="E21:G21"/>
  </mergeCells>
  <printOptions horizontalCentered="1" verticalCentered="1"/>
  <pageMargins left="0.708661417322835" right="0.708661417322835" top="1.14173228346457" bottom="0.748031496062992" header="0.31496062992126" footer="0.31496062992126"/>
  <pageSetup horizontalDpi="600" verticalDpi="600" orientation="landscape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V31"/>
  <sheetViews>
    <sheetView zoomScale="79" zoomScaleNormal="79" zoomScalePageLayoutView="0" workbookViewId="0" topLeftCell="A1">
      <selection activeCell="H13" sqref="H13:M14"/>
    </sheetView>
  </sheetViews>
  <sheetFormatPr defaultColWidth="9.140625" defaultRowHeight="12.75"/>
  <cols>
    <col min="1" max="16384" width="9.140625" style="184" customWidth="1"/>
  </cols>
  <sheetData>
    <row r="1" spans="1:22" ht="15">
      <c r="A1" s="166"/>
      <c r="B1" s="166"/>
      <c r="C1" s="397"/>
      <c r="D1" s="397"/>
      <c r="E1" s="397"/>
      <c r="F1" s="397"/>
      <c r="G1" s="397"/>
      <c r="H1" s="397"/>
      <c r="I1" s="398" t="s">
        <v>0</v>
      </c>
      <c r="J1" s="398"/>
      <c r="K1" s="166"/>
      <c r="L1" s="166"/>
      <c r="M1" s="166"/>
      <c r="N1" s="166"/>
      <c r="O1" s="166"/>
      <c r="P1" s="166"/>
      <c r="Q1" s="166"/>
      <c r="R1" s="166"/>
      <c r="S1" s="384"/>
      <c r="T1" s="384"/>
      <c r="U1" s="902" t="s">
        <v>733</v>
      </c>
      <c r="V1" s="902"/>
    </row>
    <row r="2" spans="1:22" ht="19.5">
      <c r="A2" s="166"/>
      <c r="B2" s="166"/>
      <c r="C2" s="166"/>
      <c r="D2" s="166"/>
      <c r="E2" s="583" t="s">
        <v>841</v>
      </c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166"/>
      <c r="R2" s="166"/>
      <c r="S2" s="166"/>
      <c r="T2" s="166"/>
      <c r="U2" s="166"/>
      <c r="V2" s="166"/>
    </row>
    <row r="3" spans="1:22" ht="19.5">
      <c r="A3" s="166"/>
      <c r="B3" s="166"/>
      <c r="C3" s="166"/>
      <c r="D3" s="166"/>
      <c r="E3" s="166"/>
      <c r="F3" s="166"/>
      <c r="G3" s="166"/>
      <c r="H3" s="399"/>
      <c r="I3" s="399"/>
      <c r="J3" s="399"/>
      <c r="K3" s="399"/>
      <c r="L3" s="399"/>
      <c r="M3" s="399"/>
      <c r="N3" s="399"/>
      <c r="O3" s="399"/>
      <c r="P3" s="399"/>
      <c r="Q3" s="166"/>
      <c r="R3" s="166"/>
      <c r="S3" s="166"/>
      <c r="T3" s="166"/>
      <c r="U3" s="166"/>
      <c r="V3" s="166"/>
    </row>
    <row r="4" spans="1:22" ht="15">
      <c r="A4" s="400"/>
      <c r="B4" s="400"/>
      <c r="C4" s="903" t="s">
        <v>970</v>
      </c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401"/>
      <c r="S4" s="167"/>
      <c r="T4" s="167"/>
      <c r="U4" s="167"/>
      <c r="V4" s="167"/>
    </row>
    <row r="5" spans="1:22" ht="14.25">
      <c r="A5" s="400"/>
      <c r="B5" s="400"/>
      <c r="C5" s="402"/>
      <c r="D5" s="402"/>
      <c r="E5" s="402"/>
      <c r="F5" s="402"/>
      <c r="G5" s="402"/>
      <c r="H5" s="402"/>
      <c r="I5" s="400"/>
      <c r="J5" s="400"/>
      <c r="K5" s="400"/>
      <c r="L5" s="400"/>
      <c r="M5" s="402"/>
      <c r="N5" s="402"/>
      <c r="O5" s="402"/>
      <c r="P5" s="402"/>
      <c r="Q5" s="402"/>
      <c r="R5" s="402"/>
      <c r="S5" s="402"/>
      <c r="T5" s="402"/>
      <c r="U5" s="402"/>
      <c r="V5" s="402"/>
    </row>
    <row r="6" spans="1:22" ht="14.25">
      <c r="A6" s="403" t="s">
        <v>181</v>
      </c>
      <c r="B6" s="404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</row>
    <row r="7" spans="1:22" ht="14.25">
      <c r="A7" s="400"/>
      <c r="B7" s="405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</row>
    <row r="8" spans="1:22" ht="33.75" customHeight="1">
      <c r="A8" s="677" t="s">
        <v>2</v>
      </c>
      <c r="B8" s="904" t="s">
        <v>3</v>
      </c>
      <c r="C8" s="905" t="s">
        <v>851</v>
      </c>
      <c r="D8" s="906"/>
      <c r="E8" s="906"/>
      <c r="F8" s="906"/>
      <c r="G8" s="905" t="s">
        <v>852</v>
      </c>
      <c r="H8" s="906"/>
      <c r="I8" s="906"/>
      <c r="J8" s="906"/>
      <c r="K8" s="905" t="s">
        <v>853</v>
      </c>
      <c r="L8" s="906"/>
      <c r="M8" s="906"/>
      <c r="N8" s="906"/>
      <c r="O8" s="905" t="s">
        <v>854</v>
      </c>
      <c r="P8" s="906"/>
      <c r="Q8" s="906"/>
      <c r="R8" s="906"/>
      <c r="S8" s="907" t="s">
        <v>19</v>
      </c>
      <c r="T8" s="908"/>
      <c r="U8" s="908"/>
      <c r="V8" s="909"/>
    </row>
    <row r="9" spans="1:22" ht="37.5" customHeight="1">
      <c r="A9" s="677"/>
      <c r="B9" s="904"/>
      <c r="C9" s="910" t="s">
        <v>969</v>
      </c>
      <c r="D9" s="912" t="s">
        <v>965</v>
      </c>
      <c r="E9" s="913"/>
      <c r="F9" s="914"/>
      <c r="G9" s="915" t="s">
        <v>855</v>
      </c>
      <c r="H9" s="912" t="s">
        <v>966</v>
      </c>
      <c r="I9" s="913"/>
      <c r="J9" s="914"/>
      <c r="K9" s="915" t="s">
        <v>855</v>
      </c>
      <c r="L9" s="912" t="s">
        <v>967</v>
      </c>
      <c r="M9" s="913"/>
      <c r="N9" s="914"/>
      <c r="O9" s="915" t="s">
        <v>855</v>
      </c>
      <c r="P9" s="912" t="s">
        <v>968</v>
      </c>
      <c r="Q9" s="913"/>
      <c r="R9" s="914"/>
      <c r="S9" s="915" t="s">
        <v>855</v>
      </c>
      <c r="T9" s="916" t="s">
        <v>856</v>
      </c>
      <c r="U9" s="913"/>
      <c r="V9" s="914"/>
    </row>
    <row r="10" spans="1:22" ht="27.75">
      <c r="A10" s="677"/>
      <c r="B10" s="904"/>
      <c r="C10" s="911"/>
      <c r="D10" s="406" t="s">
        <v>857</v>
      </c>
      <c r="E10" s="406" t="s">
        <v>226</v>
      </c>
      <c r="F10" s="406" t="s">
        <v>19</v>
      </c>
      <c r="G10" s="911"/>
      <c r="H10" s="406" t="s">
        <v>857</v>
      </c>
      <c r="I10" s="406" t="s">
        <v>226</v>
      </c>
      <c r="J10" s="406" t="s">
        <v>19</v>
      </c>
      <c r="K10" s="911"/>
      <c r="L10" s="406" t="s">
        <v>857</v>
      </c>
      <c r="M10" s="406" t="s">
        <v>226</v>
      </c>
      <c r="N10" s="406" t="s">
        <v>19</v>
      </c>
      <c r="O10" s="911"/>
      <c r="P10" s="406" t="s">
        <v>857</v>
      </c>
      <c r="Q10" s="406" t="s">
        <v>226</v>
      </c>
      <c r="R10" s="406" t="s">
        <v>19</v>
      </c>
      <c r="S10" s="911"/>
      <c r="T10" s="406" t="s">
        <v>857</v>
      </c>
      <c r="U10" s="406" t="s">
        <v>226</v>
      </c>
      <c r="V10" s="406" t="s">
        <v>19</v>
      </c>
    </row>
    <row r="11" spans="1:22" ht="12.75">
      <c r="A11" s="407">
        <v>1</v>
      </c>
      <c r="B11" s="408">
        <v>2</v>
      </c>
      <c r="C11" s="408">
        <v>3</v>
      </c>
      <c r="D11" s="407">
        <v>4</v>
      </c>
      <c r="E11" s="408">
        <v>5</v>
      </c>
      <c r="F11" s="408">
        <v>6</v>
      </c>
      <c r="G11" s="407">
        <v>7</v>
      </c>
      <c r="H11" s="408">
        <v>8</v>
      </c>
      <c r="I11" s="408">
        <v>9</v>
      </c>
      <c r="J11" s="407">
        <v>10</v>
      </c>
      <c r="K11" s="408">
        <v>11</v>
      </c>
      <c r="L11" s="408">
        <v>12</v>
      </c>
      <c r="M11" s="407">
        <v>13</v>
      </c>
      <c r="N11" s="408">
        <v>14</v>
      </c>
      <c r="O11" s="408">
        <v>15</v>
      </c>
      <c r="P11" s="407">
        <v>16</v>
      </c>
      <c r="Q11" s="408">
        <v>17</v>
      </c>
      <c r="R11" s="408">
        <v>18</v>
      </c>
      <c r="S11" s="407">
        <v>19</v>
      </c>
      <c r="T11" s="408">
        <v>20</v>
      </c>
      <c r="U11" s="408">
        <v>21</v>
      </c>
      <c r="V11" s="407">
        <v>22</v>
      </c>
    </row>
    <row r="12" spans="1:22" ht="43.5" customHeight="1">
      <c r="A12" s="534">
        <v>1</v>
      </c>
      <c r="B12" s="536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</row>
    <row r="13" spans="1:22" ht="36" customHeight="1">
      <c r="A13" s="534">
        <v>2</v>
      </c>
      <c r="B13" s="537"/>
      <c r="C13" s="535"/>
      <c r="D13" s="535"/>
      <c r="E13" s="535"/>
      <c r="F13" s="533"/>
      <c r="G13" s="533"/>
      <c r="H13" s="918" t="s">
        <v>631</v>
      </c>
      <c r="I13" s="919"/>
      <c r="J13" s="919"/>
      <c r="K13" s="919"/>
      <c r="L13" s="919"/>
      <c r="M13" s="920"/>
      <c r="N13" s="533"/>
      <c r="O13" s="533"/>
      <c r="P13" s="535"/>
      <c r="Q13" s="535"/>
      <c r="R13" s="535"/>
      <c r="S13" s="535"/>
      <c r="T13" s="535"/>
      <c r="U13" s="535"/>
      <c r="V13" s="535"/>
    </row>
    <row r="14" spans="1:22" ht="36.75" customHeight="1">
      <c r="A14" s="534">
        <v>3</v>
      </c>
      <c r="B14" s="537"/>
      <c r="C14" s="535"/>
      <c r="D14" s="535"/>
      <c r="E14" s="535"/>
      <c r="F14" s="533"/>
      <c r="G14" s="533"/>
      <c r="H14" s="921"/>
      <c r="I14" s="922"/>
      <c r="J14" s="922"/>
      <c r="K14" s="922"/>
      <c r="L14" s="922"/>
      <c r="M14" s="923"/>
      <c r="N14" s="533"/>
      <c r="O14" s="533"/>
      <c r="P14" s="535"/>
      <c r="Q14" s="535"/>
      <c r="R14" s="535"/>
      <c r="S14" s="535"/>
      <c r="T14" s="535"/>
      <c r="U14" s="535"/>
      <c r="V14" s="535"/>
    </row>
    <row r="15" spans="1:22" ht="46.5" customHeight="1">
      <c r="A15" s="534">
        <v>4</v>
      </c>
      <c r="B15" s="537"/>
      <c r="C15" s="535"/>
      <c r="D15" s="535"/>
      <c r="E15" s="535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5"/>
      <c r="Q15" s="535"/>
      <c r="R15" s="535"/>
      <c r="S15" s="535"/>
      <c r="T15" s="535"/>
      <c r="U15" s="535"/>
      <c r="V15" s="535"/>
    </row>
    <row r="16" spans="1:22" ht="45.75" customHeight="1">
      <c r="A16" s="900" t="s">
        <v>19</v>
      </c>
      <c r="B16" s="901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</row>
    <row r="17" spans="1:22" ht="14.25">
      <c r="A17" s="409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</row>
    <row r="18" spans="1:22" ht="14.25">
      <c r="A18" s="409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</row>
    <row r="19" spans="1:22" ht="14.25">
      <c r="A19" s="409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</row>
    <row r="20" spans="1:22" ht="14.25">
      <c r="A20" s="409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</row>
    <row r="21" spans="1:22" ht="14.25">
      <c r="A21" s="409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</row>
    <row r="22" spans="1:22" ht="14.25">
      <c r="A22" s="409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</row>
    <row r="23" spans="1:22" ht="14.25">
      <c r="A23" s="409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</row>
    <row r="24" spans="1:22" ht="14.25">
      <c r="A24" s="409"/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</row>
    <row r="25" spans="1:22" ht="14.25">
      <c r="A25" s="409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</row>
    <row r="26" spans="1:22" ht="14.25">
      <c r="A26" s="409"/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</row>
    <row r="27" spans="1:22" ht="14.25">
      <c r="A27" s="400"/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</row>
    <row r="28" spans="1:22" ht="12.75">
      <c r="A28" s="175" t="s">
        <v>12</v>
      </c>
      <c r="B28" s="166"/>
      <c r="C28" s="166"/>
      <c r="D28" s="166"/>
      <c r="E28" s="166"/>
      <c r="F28" s="166"/>
      <c r="G28" s="175"/>
      <c r="H28" s="175"/>
      <c r="I28" s="166"/>
      <c r="J28" s="166"/>
      <c r="K28" s="175"/>
      <c r="L28" s="175"/>
      <c r="M28" s="175"/>
      <c r="N28" s="175"/>
      <c r="O28" s="175"/>
      <c r="P28" s="175"/>
      <c r="Q28" s="175"/>
      <c r="R28" s="175"/>
      <c r="S28" s="410"/>
      <c r="T28" s="917" t="s">
        <v>13</v>
      </c>
      <c r="U28" s="917"/>
      <c r="V28" s="410"/>
    </row>
    <row r="29" spans="1:22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843" t="s">
        <v>14</v>
      </c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</row>
    <row r="30" spans="1:22" ht="12.75">
      <c r="A30" s="166"/>
      <c r="B30" s="166"/>
      <c r="C30" s="166"/>
      <c r="D30" s="166"/>
      <c r="E30" s="166"/>
      <c r="F30" s="166"/>
      <c r="G30" s="166"/>
      <c r="H30" s="166"/>
      <c r="I30" s="166"/>
      <c r="J30" s="843" t="s">
        <v>89</v>
      </c>
      <c r="K30" s="843"/>
      <c r="L30" s="843"/>
      <c r="M30" s="843"/>
      <c r="N30" s="843"/>
      <c r="O30" s="843"/>
      <c r="P30" s="843"/>
      <c r="Q30" s="843"/>
      <c r="R30" s="843"/>
      <c r="S30" s="843"/>
      <c r="T30" s="843"/>
      <c r="U30" s="843"/>
      <c r="V30" s="843"/>
    </row>
    <row r="31" spans="1:22" ht="12.75">
      <c r="A31" s="175"/>
      <c r="B31" s="175"/>
      <c r="C31" s="166"/>
      <c r="D31" s="166"/>
      <c r="E31" s="166"/>
      <c r="F31" s="166"/>
      <c r="G31" s="166"/>
      <c r="H31" s="166"/>
      <c r="I31" s="166"/>
      <c r="J31" s="166"/>
      <c r="K31" s="175"/>
      <c r="L31" s="175"/>
      <c r="M31" s="175"/>
      <c r="N31" s="175"/>
      <c r="O31" s="175"/>
      <c r="P31" s="175"/>
      <c r="Q31" s="837" t="s">
        <v>86</v>
      </c>
      <c r="R31" s="837"/>
      <c r="S31" s="837"/>
      <c r="T31" s="837"/>
      <c r="U31" s="837"/>
      <c r="V31" s="837"/>
    </row>
  </sheetData>
  <sheetProtection/>
  <mergeCells count="26">
    <mergeCell ref="J30:V30"/>
    <mergeCell ref="Q31:V31"/>
    <mergeCell ref="O9:O10"/>
    <mergeCell ref="P9:R9"/>
    <mergeCell ref="S9:S10"/>
    <mergeCell ref="T9:V9"/>
    <mergeCell ref="T28:U28"/>
    <mergeCell ref="K29:V29"/>
    <mergeCell ref="H13:M14"/>
    <mergeCell ref="S8:V8"/>
    <mergeCell ref="C9:C10"/>
    <mergeCell ref="D9:F9"/>
    <mergeCell ref="G9:G10"/>
    <mergeCell ref="H9:J9"/>
    <mergeCell ref="K9:K10"/>
    <mergeCell ref="L9:N9"/>
    <mergeCell ref="A16:B16"/>
    <mergeCell ref="U1:V1"/>
    <mergeCell ref="E2:P2"/>
    <mergeCell ref="C4:Q4"/>
    <mergeCell ref="A8:A10"/>
    <mergeCell ref="B8:B10"/>
    <mergeCell ref="C8:F8"/>
    <mergeCell ref="G8:J8"/>
    <mergeCell ref="K8:N8"/>
    <mergeCell ref="O8:R8"/>
  </mergeCells>
  <printOptions horizontalCentered="1" verticalCentered="1"/>
  <pageMargins left="0.708661417322835" right="0.708661417322835" top="1.33858267716535" bottom="0.748031496062992" header="0.31496062992126" footer="0.31496062992126"/>
  <pageSetup horizontalDpi="600" verticalDpi="600" orientation="landscape" paperSize="9" scale="6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V31"/>
  <sheetViews>
    <sheetView zoomScale="80" zoomScaleNormal="80" zoomScalePageLayoutView="0" workbookViewId="0" topLeftCell="A7">
      <selection activeCell="K13" sqref="K13"/>
    </sheetView>
  </sheetViews>
  <sheetFormatPr defaultColWidth="9.140625" defaultRowHeight="12.75"/>
  <cols>
    <col min="1" max="16384" width="9.140625" style="184" customWidth="1"/>
  </cols>
  <sheetData>
    <row r="1" spans="1:22" ht="15">
      <c r="A1" s="166"/>
      <c r="B1" s="166"/>
      <c r="C1" s="397"/>
      <c r="D1" s="397"/>
      <c r="E1" s="397"/>
      <c r="F1" s="397"/>
      <c r="G1" s="397"/>
      <c r="H1" s="397"/>
      <c r="I1" s="398" t="s">
        <v>0</v>
      </c>
      <c r="J1" s="398"/>
      <c r="K1" s="166"/>
      <c r="L1" s="166"/>
      <c r="M1" s="166"/>
      <c r="N1" s="166"/>
      <c r="O1" s="166"/>
      <c r="P1" s="166"/>
      <c r="Q1" s="166"/>
      <c r="R1" s="166"/>
      <c r="S1" s="384"/>
      <c r="T1" s="384"/>
      <c r="U1" s="902" t="s">
        <v>859</v>
      </c>
      <c r="V1" s="902"/>
    </row>
    <row r="2" spans="1:22" ht="19.5">
      <c r="A2" s="166"/>
      <c r="B2" s="166"/>
      <c r="C2" s="166"/>
      <c r="D2" s="166"/>
      <c r="E2" s="583" t="s">
        <v>841</v>
      </c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166"/>
      <c r="R2" s="166"/>
      <c r="S2" s="166"/>
      <c r="T2" s="166"/>
      <c r="U2" s="166"/>
      <c r="V2" s="166"/>
    </row>
    <row r="3" spans="1:22" ht="19.5">
      <c r="A3" s="166"/>
      <c r="B3" s="166"/>
      <c r="C3" s="166"/>
      <c r="D3" s="166"/>
      <c r="E3" s="166"/>
      <c r="F3" s="166"/>
      <c r="G3" s="166"/>
      <c r="H3" s="399"/>
      <c r="I3" s="399"/>
      <c r="J3" s="399"/>
      <c r="K3" s="399"/>
      <c r="L3" s="399"/>
      <c r="M3" s="399"/>
      <c r="N3" s="399"/>
      <c r="O3" s="399"/>
      <c r="P3" s="399"/>
      <c r="Q3" s="166"/>
      <c r="R3" s="166"/>
      <c r="S3" s="166"/>
      <c r="T3" s="166"/>
      <c r="U3" s="166"/>
      <c r="V3" s="166"/>
    </row>
    <row r="4" spans="1:22" ht="15">
      <c r="A4" s="400"/>
      <c r="B4" s="400"/>
      <c r="C4" s="903" t="s">
        <v>858</v>
      </c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401"/>
      <c r="S4" s="167"/>
      <c r="T4" s="167"/>
      <c r="U4" s="167"/>
      <c r="V4" s="167"/>
    </row>
    <row r="5" spans="1:22" ht="14.25">
      <c r="A5" s="400"/>
      <c r="B5" s="400"/>
      <c r="C5" s="402"/>
      <c r="D5" s="402"/>
      <c r="E5" s="402"/>
      <c r="F5" s="402"/>
      <c r="G5" s="402"/>
      <c r="H5" s="402"/>
      <c r="I5" s="400"/>
      <c r="J5" s="400"/>
      <c r="K5" s="400"/>
      <c r="L5" s="400"/>
      <c r="M5" s="402"/>
      <c r="N5" s="402"/>
      <c r="O5" s="402"/>
      <c r="P5" s="402"/>
      <c r="Q5" s="402"/>
      <c r="R5" s="402"/>
      <c r="S5" s="402"/>
      <c r="T5" s="402"/>
      <c r="U5" s="402"/>
      <c r="V5" s="402"/>
    </row>
    <row r="6" spans="1:22" ht="14.25">
      <c r="A6" s="403" t="s">
        <v>643</v>
      </c>
      <c r="B6" s="404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</row>
    <row r="7" spans="1:22" ht="14.25">
      <c r="A7" s="400"/>
      <c r="B7" s="405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</row>
    <row r="8" spans="1:22" ht="14.25">
      <c r="A8" s="677" t="s">
        <v>2</v>
      </c>
      <c r="B8" s="904" t="s">
        <v>3</v>
      </c>
      <c r="C8" s="698" t="s">
        <v>971</v>
      </c>
      <c r="D8" s="924"/>
      <c r="E8" s="924"/>
      <c r="F8" s="924"/>
      <c r="G8" s="698" t="s">
        <v>972</v>
      </c>
      <c r="H8" s="924"/>
      <c r="I8" s="924"/>
      <c r="J8" s="924"/>
      <c r="K8" s="698" t="s">
        <v>973</v>
      </c>
      <c r="L8" s="924"/>
      <c r="M8" s="924"/>
      <c r="N8" s="924"/>
      <c r="O8" s="698" t="s">
        <v>974</v>
      </c>
      <c r="P8" s="924"/>
      <c r="Q8" s="924"/>
      <c r="R8" s="924"/>
      <c r="S8" s="925" t="s">
        <v>19</v>
      </c>
      <c r="T8" s="926"/>
      <c r="U8" s="926"/>
      <c r="V8" s="927"/>
    </row>
    <row r="9" spans="1:22" ht="13.5">
      <c r="A9" s="677"/>
      <c r="B9" s="904"/>
      <c r="C9" s="915" t="s">
        <v>855</v>
      </c>
      <c r="D9" s="916" t="s">
        <v>856</v>
      </c>
      <c r="E9" s="913"/>
      <c r="F9" s="914"/>
      <c r="G9" s="915" t="s">
        <v>855</v>
      </c>
      <c r="H9" s="916" t="s">
        <v>856</v>
      </c>
      <c r="I9" s="913"/>
      <c r="J9" s="914"/>
      <c r="K9" s="915" t="s">
        <v>855</v>
      </c>
      <c r="L9" s="916" t="s">
        <v>856</v>
      </c>
      <c r="M9" s="913"/>
      <c r="N9" s="914"/>
      <c r="O9" s="915" t="s">
        <v>855</v>
      </c>
      <c r="P9" s="916" t="s">
        <v>856</v>
      </c>
      <c r="Q9" s="913"/>
      <c r="R9" s="914"/>
      <c r="S9" s="915" t="s">
        <v>855</v>
      </c>
      <c r="T9" s="916" t="s">
        <v>856</v>
      </c>
      <c r="U9" s="913"/>
      <c r="V9" s="914"/>
    </row>
    <row r="10" spans="1:22" ht="27.75">
      <c r="A10" s="677"/>
      <c r="B10" s="904"/>
      <c r="C10" s="911"/>
      <c r="D10" s="406" t="s">
        <v>857</v>
      </c>
      <c r="E10" s="406" t="s">
        <v>226</v>
      </c>
      <c r="F10" s="406" t="s">
        <v>19</v>
      </c>
      <c r="G10" s="911"/>
      <c r="H10" s="406" t="s">
        <v>857</v>
      </c>
      <c r="I10" s="406" t="s">
        <v>226</v>
      </c>
      <c r="J10" s="406" t="s">
        <v>19</v>
      </c>
      <c r="K10" s="911"/>
      <c r="L10" s="406" t="s">
        <v>857</v>
      </c>
      <c r="M10" s="406" t="s">
        <v>226</v>
      </c>
      <c r="N10" s="406" t="s">
        <v>19</v>
      </c>
      <c r="O10" s="911"/>
      <c r="P10" s="406" t="s">
        <v>857</v>
      </c>
      <c r="Q10" s="406" t="s">
        <v>226</v>
      </c>
      <c r="R10" s="406" t="s">
        <v>19</v>
      </c>
      <c r="S10" s="911"/>
      <c r="T10" s="406" t="s">
        <v>857</v>
      </c>
      <c r="U10" s="406" t="s">
        <v>226</v>
      </c>
      <c r="V10" s="406" t="s">
        <v>19</v>
      </c>
    </row>
    <row r="11" spans="1:22" ht="12.75">
      <c r="A11" s="407">
        <v>1</v>
      </c>
      <c r="B11" s="408">
        <v>2</v>
      </c>
      <c r="C11" s="408">
        <v>3</v>
      </c>
      <c r="D11" s="407">
        <v>4</v>
      </c>
      <c r="E11" s="408">
        <v>5</v>
      </c>
      <c r="F11" s="408">
        <v>6</v>
      </c>
      <c r="G11" s="407">
        <v>7</v>
      </c>
      <c r="H11" s="408">
        <v>8</v>
      </c>
      <c r="I11" s="408">
        <v>9</v>
      </c>
      <c r="J11" s="407">
        <v>10</v>
      </c>
      <c r="K11" s="408">
        <v>11</v>
      </c>
      <c r="L11" s="408">
        <v>12</v>
      </c>
      <c r="M11" s="407">
        <v>13</v>
      </c>
      <c r="N11" s="408">
        <v>14</v>
      </c>
      <c r="O11" s="408">
        <v>15</v>
      </c>
      <c r="P11" s="407">
        <v>16</v>
      </c>
      <c r="Q11" s="408">
        <v>17</v>
      </c>
      <c r="R11" s="408">
        <v>18</v>
      </c>
      <c r="S11" s="407">
        <v>19</v>
      </c>
      <c r="T11" s="408">
        <v>20</v>
      </c>
      <c r="U11" s="408">
        <v>21</v>
      </c>
      <c r="V11" s="407">
        <v>22</v>
      </c>
    </row>
    <row r="12" spans="1:22" ht="45.75" customHeight="1">
      <c r="A12" s="534">
        <v>1</v>
      </c>
      <c r="B12" s="544" t="s">
        <v>632</v>
      </c>
      <c r="C12" s="545">
        <v>30</v>
      </c>
      <c r="D12" s="545">
        <f>C12*0.09</f>
        <v>2.6999999999999997</v>
      </c>
      <c r="E12" s="545">
        <f>C12*0.01</f>
        <v>0.3</v>
      </c>
      <c r="F12" s="545">
        <f>SUM(D12:E12)</f>
        <v>2.9999999999999996</v>
      </c>
      <c r="G12" s="541">
        <v>30</v>
      </c>
      <c r="H12" s="534">
        <f>G12*0.135</f>
        <v>4.050000000000001</v>
      </c>
      <c r="I12" s="534">
        <f>G12*0.015</f>
        <v>0.44999999999999996</v>
      </c>
      <c r="J12" s="534">
        <f>SUM(H12:I12)</f>
        <v>4.500000000000001</v>
      </c>
      <c r="K12" s="545">
        <v>30</v>
      </c>
      <c r="L12" s="545">
        <f>K12*0.18</f>
        <v>5.3999999999999995</v>
      </c>
      <c r="M12" s="545">
        <f>K12*0.02</f>
        <v>0.6</v>
      </c>
      <c r="N12" s="545">
        <f>SUM(L12:M12)</f>
        <v>5.999999999999999</v>
      </c>
      <c r="O12" s="541">
        <v>14</v>
      </c>
      <c r="P12" s="534">
        <f>O12*0.225</f>
        <v>3.15</v>
      </c>
      <c r="Q12" s="534">
        <f>O12*0.025</f>
        <v>0.35000000000000003</v>
      </c>
      <c r="R12" s="534">
        <f>SUM(P12:Q12)</f>
        <v>3.5</v>
      </c>
      <c r="S12" s="550">
        <f aca="true" t="shared" si="0" ref="S12:U15">C12+G12+K12+O12</f>
        <v>104</v>
      </c>
      <c r="T12" s="550">
        <f t="shared" si="0"/>
        <v>15.299999999999999</v>
      </c>
      <c r="U12" s="550">
        <f t="shared" si="0"/>
        <v>1.7000000000000002</v>
      </c>
      <c r="V12" s="550">
        <f>SUM(T12:U12)</f>
        <v>17</v>
      </c>
    </row>
    <row r="13" spans="1:22" ht="39" customHeight="1">
      <c r="A13" s="534">
        <v>2</v>
      </c>
      <c r="B13" s="546" t="s">
        <v>633</v>
      </c>
      <c r="C13" s="545">
        <v>25</v>
      </c>
      <c r="D13" s="545">
        <f>C13*0.09</f>
        <v>2.25</v>
      </c>
      <c r="E13" s="545">
        <f>C13*0.01</f>
        <v>0.25</v>
      </c>
      <c r="F13" s="545">
        <f>SUM(D13:E13)</f>
        <v>2.5</v>
      </c>
      <c r="G13" s="542">
        <v>35</v>
      </c>
      <c r="H13" s="534">
        <f>G13*0.135</f>
        <v>4.7250000000000005</v>
      </c>
      <c r="I13" s="534">
        <f>G13*0.015</f>
        <v>0.525</v>
      </c>
      <c r="J13" s="538">
        <f>SUM(H13:I13)</f>
        <v>5.250000000000001</v>
      </c>
      <c r="K13" s="549">
        <v>26</v>
      </c>
      <c r="L13" s="545">
        <f>K13*0.18</f>
        <v>4.68</v>
      </c>
      <c r="M13" s="545">
        <f>K13*0.02</f>
        <v>0.52</v>
      </c>
      <c r="N13" s="549">
        <f>SUM(L13:M13)</f>
        <v>5.199999999999999</v>
      </c>
      <c r="O13" s="541">
        <v>8</v>
      </c>
      <c r="P13" s="534">
        <f>O13*0.225</f>
        <v>1.8</v>
      </c>
      <c r="Q13" s="534">
        <f>O13*0.025</f>
        <v>0.2</v>
      </c>
      <c r="R13" s="534">
        <f>SUM(P13:Q13)</f>
        <v>2</v>
      </c>
      <c r="S13" s="550">
        <f t="shared" si="0"/>
        <v>94</v>
      </c>
      <c r="T13" s="550">
        <f t="shared" si="0"/>
        <v>13.455000000000002</v>
      </c>
      <c r="U13" s="550">
        <f t="shared" si="0"/>
        <v>1.4949999999999999</v>
      </c>
      <c r="V13" s="550">
        <f>SUM(T13:U13)</f>
        <v>14.950000000000001</v>
      </c>
    </row>
    <row r="14" spans="1:22" ht="45.75" customHeight="1">
      <c r="A14" s="534">
        <v>3</v>
      </c>
      <c r="B14" s="546" t="s">
        <v>634</v>
      </c>
      <c r="C14" s="545">
        <v>20</v>
      </c>
      <c r="D14" s="545">
        <f>C14*0.09</f>
        <v>1.7999999999999998</v>
      </c>
      <c r="E14" s="545">
        <f>C14*0.01</f>
        <v>0.2</v>
      </c>
      <c r="F14" s="545">
        <f>SUM(D14:E14)</f>
        <v>1.9999999999999998</v>
      </c>
      <c r="G14" s="542">
        <v>17</v>
      </c>
      <c r="H14" s="534">
        <f>G14*0.135</f>
        <v>2.295</v>
      </c>
      <c r="I14" s="534">
        <f>G14*0.015</f>
        <v>0.255</v>
      </c>
      <c r="J14" s="538">
        <f>SUM(H14:I14)</f>
        <v>2.55</v>
      </c>
      <c r="K14" s="549">
        <v>0</v>
      </c>
      <c r="L14" s="545">
        <f>K14*0.18</f>
        <v>0</v>
      </c>
      <c r="M14" s="545">
        <f>K14*0.02</f>
        <v>0</v>
      </c>
      <c r="N14" s="549">
        <f>SUM(L14:M14)</f>
        <v>0</v>
      </c>
      <c r="O14" s="541">
        <v>0</v>
      </c>
      <c r="P14" s="534">
        <f>O14*0.225</f>
        <v>0</v>
      </c>
      <c r="Q14" s="534">
        <f>O14*0.025</f>
        <v>0</v>
      </c>
      <c r="R14" s="534">
        <f>SUM(P14:Q14)</f>
        <v>0</v>
      </c>
      <c r="S14" s="550">
        <f t="shared" si="0"/>
        <v>37</v>
      </c>
      <c r="T14" s="550">
        <f t="shared" si="0"/>
        <v>4.095</v>
      </c>
      <c r="U14" s="550">
        <f t="shared" si="0"/>
        <v>0.455</v>
      </c>
      <c r="V14" s="550">
        <f>SUM(T14:U14)</f>
        <v>4.55</v>
      </c>
    </row>
    <row r="15" spans="1:22" ht="39.75" customHeight="1">
      <c r="A15" s="534">
        <v>4</v>
      </c>
      <c r="B15" s="546" t="s">
        <v>635</v>
      </c>
      <c r="C15" s="545">
        <v>30</v>
      </c>
      <c r="D15" s="545">
        <f>C15*0.09</f>
        <v>2.6999999999999997</v>
      </c>
      <c r="E15" s="545">
        <f>C15*0.01</f>
        <v>0.3</v>
      </c>
      <c r="F15" s="545">
        <f>SUM(D15:E15)</f>
        <v>2.9999999999999996</v>
      </c>
      <c r="G15" s="541">
        <v>30</v>
      </c>
      <c r="H15" s="534">
        <f>G15*0.135</f>
        <v>4.050000000000001</v>
      </c>
      <c r="I15" s="534">
        <f>G15*0.015</f>
        <v>0.44999999999999996</v>
      </c>
      <c r="J15" s="534">
        <f>SUM(H15:I15)</f>
        <v>4.500000000000001</v>
      </c>
      <c r="K15" s="545">
        <v>31</v>
      </c>
      <c r="L15" s="545">
        <f>K15*0.18</f>
        <v>5.58</v>
      </c>
      <c r="M15" s="545">
        <f>K15*0.02</f>
        <v>0.62</v>
      </c>
      <c r="N15" s="545">
        <f>SUM(L15:M15)</f>
        <v>6.2</v>
      </c>
      <c r="O15" s="541">
        <v>10</v>
      </c>
      <c r="P15" s="534">
        <f>O15*0.225</f>
        <v>2.25</v>
      </c>
      <c r="Q15" s="534">
        <f>O15*0.025</f>
        <v>0.25</v>
      </c>
      <c r="R15" s="534">
        <f>SUM(P15:Q15)</f>
        <v>2.5</v>
      </c>
      <c r="S15" s="550">
        <f t="shared" si="0"/>
        <v>101</v>
      </c>
      <c r="T15" s="550">
        <f t="shared" si="0"/>
        <v>14.58</v>
      </c>
      <c r="U15" s="550">
        <f t="shared" si="0"/>
        <v>1.62</v>
      </c>
      <c r="V15" s="550">
        <f>SUM(T15:U15)</f>
        <v>16.2</v>
      </c>
    </row>
    <row r="16" spans="1:22" ht="58.5" customHeight="1">
      <c r="A16" s="538" t="s">
        <v>19</v>
      </c>
      <c r="B16" s="547"/>
      <c r="C16" s="548">
        <f>SUM(C12:C15)</f>
        <v>105</v>
      </c>
      <c r="D16" s="548">
        <f>SUM(D12:D15)</f>
        <v>9.45</v>
      </c>
      <c r="E16" s="548">
        <f>C16*0.01</f>
        <v>1.05</v>
      </c>
      <c r="F16" s="548">
        <f>SUM(D16:E16)</f>
        <v>10.5</v>
      </c>
      <c r="G16" s="543">
        <f>SUM(G12:G15)</f>
        <v>112</v>
      </c>
      <c r="H16" s="543">
        <f>SUM(H12:H15)</f>
        <v>15.120000000000003</v>
      </c>
      <c r="I16" s="543">
        <f>SUM(I12:I15)</f>
        <v>1.68</v>
      </c>
      <c r="J16" s="543">
        <f>SUM(H16:I16)</f>
        <v>16.800000000000004</v>
      </c>
      <c r="K16" s="548">
        <f>SUM(K12:K15)</f>
        <v>87</v>
      </c>
      <c r="L16" s="548">
        <f>SUM(L12:L15)</f>
        <v>15.659999999999998</v>
      </c>
      <c r="M16" s="548">
        <f>SUM(M12:M15)</f>
        <v>1.7400000000000002</v>
      </c>
      <c r="N16" s="548">
        <f>SUM(L16:M16)</f>
        <v>17.4</v>
      </c>
      <c r="O16" s="543">
        <f>SUM(O12:O15)</f>
        <v>32</v>
      </c>
      <c r="P16" s="543">
        <f>SUM(P12:P15)</f>
        <v>7.2</v>
      </c>
      <c r="Q16" s="543">
        <f>SUM(Q12:Q15)</f>
        <v>0.8</v>
      </c>
      <c r="R16" s="543">
        <f>SUM(P16:Q16)</f>
        <v>8</v>
      </c>
      <c r="S16" s="548">
        <f>C16+G16+K16+O16</f>
        <v>336</v>
      </c>
      <c r="T16" s="548">
        <f>SUM(T12:T15)</f>
        <v>47.43</v>
      </c>
      <c r="U16" s="548">
        <f>SUM(U12:U15)</f>
        <v>5.2700000000000005</v>
      </c>
      <c r="V16" s="548">
        <f>SUM(V12:V15)</f>
        <v>52.7</v>
      </c>
    </row>
    <row r="17" spans="1:22" ht="14.25">
      <c r="A17" s="409"/>
      <c r="B17" s="400"/>
      <c r="C17" s="400"/>
      <c r="D17" s="400"/>
      <c r="E17" s="400"/>
      <c r="F17" s="540"/>
      <c r="G17" s="540"/>
      <c r="H17" s="540"/>
      <c r="I17" s="540"/>
      <c r="J17" s="54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</row>
    <row r="18" spans="1:22" ht="14.25">
      <c r="A18" s="409"/>
      <c r="B18" s="400"/>
      <c r="C18" s="400"/>
      <c r="D18" s="400">
        <f>D16+H16+L16+P16</f>
        <v>47.43</v>
      </c>
      <c r="E18" s="400">
        <f>E16+I16+M16+Q16</f>
        <v>5.2700000000000005</v>
      </c>
      <c r="F18" s="400"/>
      <c r="G18" s="400"/>
      <c r="H18" s="400"/>
      <c r="I18" s="400"/>
      <c r="J18" s="400"/>
      <c r="K18" s="400"/>
      <c r="L18" s="539"/>
      <c r="M18" s="400"/>
      <c r="N18" s="400"/>
      <c r="O18" s="400"/>
      <c r="P18" s="400"/>
      <c r="Q18" s="400"/>
      <c r="R18" s="400"/>
      <c r="S18" s="400"/>
      <c r="T18" s="400"/>
      <c r="U18" s="400"/>
      <c r="V18" s="400"/>
    </row>
    <row r="19" spans="1:22" ht="14.25">
      <c r="A19" s="409"/>
      <c r="B19" s="400"/>
      <c r="D19" s="400">
        <f>C16*9000/100000</f>
        <v>9.45</v>
      </c>
      <c r="E19" s="400">
        <f>C16*1000/100000</f>
        <v>1.05</v>
      </c>
      <c r="F19" s="400">
        <f>SUM(D19:E19)</f>
        <v>10.5</v>
      </c>
      <c r="G19" s="400"/>
      <c r="H19" s="400">
        <f>G16*13500/100000</f>
        <v>15.12</v>
      </c>
      <c r="I19" s="400">
        <f>G16*1500/100000</f>
        <v>1.68</v>
      </c>
      <c r="J19" s="400">
        <f>SUM(H19:I19)</f>
        <v>16.8</v>
      </c>
      <c r="K19" s="400"/>
      <c r="L19" s="400">
        <f>K16*18000/100000</f>
        <v>15.66</v>
      </c>
      <c r="M19" s="400">
        <f>K16*2000/100000</f>
        <v>1.74</v>
      </c>
      <c r="N19" s="400">
        <f>SUM(L19:M19)</f>
        <v>17.4</v>
      </c>
      <c r="P19" s="400">
        <f>O16*22500/100000</f>
        <v>7.2</v>
      </c>
      <c r="Q19" s="400">
        <f>O16*2500/100000</f>
        <v>0.8</v>
      </c>
      <c r="R19" s="400">
        <f>SUM(P19:Q19)</f>
        <v>8</v>
      </c>
      <c r="S19" s="400"/>
      <c r="T19" s="400"/>
      <c r="U19" s="400"/>
      <c r="V19" s="400"/>
    </row>
    <row r="20" spans="1:22" ht="14.25">
      <c r="A20" s="409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</row>
    <row r="21" spans="1:22" ht="14.25">
      <c r="A21" s="409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</row>
    <row r="22" spans="1:22" ht="14.25">
      <c r="A22" s="409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</row>
    <row r="23" spans="1:22" ht="14.25">
      <c r="A23" s="409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</row>
    <row r="24" spans="1:22" ht="14.25">
      <c r="A24" s="409"/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</row>
    <row r="25" spans="1:22" ht="14.25">
      <c r="A25" s="409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</row>
    <row r="26" spans="1:22" ht="14.25">
      <c r="A26" s="409"/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</row>
    <row r="27" spans="1:22" ht="14.25">
      <c r="A27" s="400"/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</row>
    <row r="28" spans="1:22" ht="12.75">
      <c r="A28" s="175" t="s">
        <v>12</v>
      </c>
      <c r="B28" s="166"/>
      <c r="C28" s="166"/>
      <c r="D28" s="166"/>
      <c r="E28" s="166"/>
      <c r="F28" s="166"/>
      <c r="G28" s="175"/>
      <c r="H28" s="175"/>
      <c r="I28" s="166"/>
      <c r="J28" s="166"/>
      <c r="K28" s="175"/>
      <c r="L28" s="175"/>
      <c r="M28" s="175"/>
      <c r="N28" s="175"/>
      <c r="O28" s="175"/>
      <c r="P28" s="175"/>
      <c r="Q28" s="175"/>
      <c r="R28" s="175"/>
      <c r="S28" s="410"/>
      <c r="T28" s="917" t="s">
        <v>13</v>
      </c>
      <c r="U28" s="917"/>
      <c r="V28" s="410"/>
    </row>
    <row r="29" spans="1:22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843" t="s">
        <v>14</v>
      </c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</row>
    <row r="30" spans="1:22" ht="12.75">
      <c r="A30" s="166"/>
      <c r="B30" s="166"/>
      <c r="C30" s="166"/>
      <c r="D30" s="166"/>
      <c r="E30" s="166"/>
      <c r="F30" s="166"/>
      <c r="G30" s="166"/>
      <c r="H30" s="166"/>
      <c r="I30" s="166"/>
      <c r="J30" s="843" t="s">
        <v>89</v>
      </c>
      <c r="K30" s="843"/>
      <c r="L30" s="843"/>
      <c r="M30" s="843"/>
      <c r="N30" s="843"/>
      <c r="O30" s="843"/>
      <c r="P30" s="843"/>
      <c r="Q30" s="843"/>
      <c r="R30" s="843"/>
      <c r="S30" s="843"/>
      <c r="T30" s="843"/>
      <c r="U30" s="843"/>
      <c r="V30" s="843"/>
    </row>
    <row r="31" spans="1:22" ht="12.75">
      <c r="A31" s="175"/>
      <c r="B31" s="175"/>
      <c r="C31" s="166"/>
      <c r="D31" s="166"/>
      <c r="E31" s="166"/>
      <c r="F31" s="166"/>
      <c r="G31" s="166"/>
      <c r="H31" s="166"/>
      <c r="I31" s="166"/>
      <c r="J31" s="166"/>
      <c r="K31" s="175"/>
      <c r="L31" s="175"/>
      <c r="M31" s="175"/>
      <c r="N31" s="175"/>
      <c r="O31" s="175"/>
      <c r="P31" s="175"/>
      <c r="Q31" s="837" t="s">
        <v>86</v>
      </c>
      <c r="R31" s="837"/>
      <c r="S31" s="837"/>
      <c r="T31" s="837"/>
      <c r="U31" s="837"/>
      <c r="V31" s="837"/>
    </row>
  </sheetData>
  <sheetProtection/>
  <mergeCells count="24">
    <mergeCell ref="J30:V30"/>
    <mergeCell ref="Q31:V31"/>
    <mergeCell ref="O9:O10"/>
    <mergeCell ref="P9:R9"/>
    <mergeCell ref="S9:S10"/>
    <mergeCell ref="T9:V9"/>
    <mergeCell ref="T28:U28"/>
    <mergeCell ref="K29:V29"/>
    <mergeCell ref="C9:C10"/>
    <mergeCell ref="D9:F9"/>
    <mergeCell ref="G9:G10"/>
    <mergeCell ref="H9:J9"/>
    <mergeCell ref="K9:K10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</mergeCells>
  <printOptions horizontalCentered="1" verticalCentered="1"/>
  <pageMargins left="0.708661417322835" right="0.708661417322835" top="1.14173228346457" bottom="0.748031496062992" header="0.31496062992126" footer="0.31496062992126"/>
  <pageSetup horizontalDpi="600" verticalDpi="600" orientation="landscape" paperSize="9" scale="65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="76" zoomScaleSheetLayoutView="76" zoomScalePageLayoutView="0" workbookViewId="0" topLeftCell="A6">
      <selection activeCell="H18" sqref="H18"/>
    </sheetView>
  </sheetViews>
  <sheetFormatPr defaultColWidth="8.8515625" defaultRowHeight="12.75"/>
  <cols>
    <col min="1" max="1" width="8.140625" style="55" customWidth="1"/>
    <col min="2" max="2" width="12.57421875" style="55" customWidth="1"/>
    <col min="3" max="3" width="12.140625" style="55" customWidth="1"/>
    <col min="4" max="4" width="11.7109375" style="55" customWidth="1"/>
    <col min="5" max="5" width="11.28125" style="55" customWidth="1"/>
    <col min="6" max="6" width="17.140625" style="55" customWidth="1"/>
    <col min="7" max="7" width="15.140625" style="55" customWidth="1"/>
    <col min="8" max="8" width="14.421875" style="55" customWidth="1"/>
    <col min="9" max="9" width="13.7109375" style="55" customWidth="1"/>
    <col min="10" max="10" width="16.00390625" style="55" customWidth="1"/>
    <col min="11" max="11" width="13.421875" style="55" customWidth="1"/>
    <col min="12" max="12" width="16.28125" style="55" customWidth="1"/>
    <col min="13" max="16384" width="8.8515625" style="55" customWidth="1"/>
  </cols>
  <sheetData>
    <row r="1" spans="2:12" ht="15">
      <c r="B1" s="2"/>
      <c r="C1" s="2"/>
      <c r="D1" s="2"/>
      <c r="E1" s="2"/>
      <c r="F1" s="3"/>
      <c r="G1" s="3"/>
      <c r="H1" s="2"/>
      <c r="J1" s="30"/>
      <c r="K1" s="723" t="s">
        <v>734</v>
      </c>
      <c r="L1" s="723"/>
    </row>
    <row r="2" spans="2:12" ht="15">
      <c r="B2" s="582" t="s">
        <v>0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2:11" ht="19.5">
      <c r="B3" s="674" t="s">
        <v>841</v>
      </c>
      <c r="C3" s="674"/>
      <c r="D3" s="674"/>
      <c r="E3" s="674"/>
      <c r="F3" s="674"/>
      <c r="G3" s="674"/>
      <c r="H3" s="674"/>
      <c r="I3" s="674"/>
      <c r="J3" s="674"/>
      <c r="K3" s="674"/>
    </row>
    <row r="4" spans="2:10" ht="19.5">
      <c r="B4" s="81"/>
      <c r="C4" s="81"/>
      <c r="D4" s="81"/>
      <c r="E4" s="81"/>
      <c r="F4" s="81"/>
      <c r="G4" s="81"/>
      <c r="H4" s="81"/>
      <c r="I4" s="81"/>
      <c r="J4" s="81"/>
    </row>
    <row r="5" spans="2:12" ht="15" customHeight="1">
      <c r="B5" s="948" t="s">
        <v>910</v>
      </c>
      <c r="C5" s="948"/>
      <c r="D5" s="948"/>
      <c r="E5" s="948"/>
      <c r="F5" s="948"/>
      <c r="G5" s="948"/>
      <c r="H5" s="948"/>
      <c r="I5" s="948"/>
      <c r="J5" s="948"/>
      <c r="K5" s="948"/>
      <c r="L5" s="948"/>
    </row>
    <row r="6" spans="1:3" ht="13.5">
      <c r="A6" s="579" t="s">
        <v>643</v>
      </c>
      <c r="B6" s="579"/>
      <c r="C6" s="24"/>
    </row>
    <row r="7" spans="1:12" ht="15" customHeight="1">
      <c r="A7" s="935" t="s">
        <v>113</v>
      </c>
      <c r="B7" s="931" t="s">
        <v>3</v>
      </c>
      <c r="C7" s="930" t="s">
        <v>27</v>
      </c>
      <c r="D7" s="930"/>
      <c r="E7" s="930"/>
      <c r="F7" s="930"/>
      <c r="G7" s="945" t="s">
        <v>28</v>
      </c>
      <c r="H7" s="946"/>
      <c r="I7" s="946"/>
      <c r="J7" s="947"/>
      <c r="K7" s="931" t="s">
        <v>413</v>
      </c>
      <c r="L7" s="928" t="s">
        <v>125</v>
      </c>
    </row>
    <row r="8" spans="1:12" ht="30.75" customHeight="1">
      <c r="A8" s="936"/>
      <c r="B8" s="938"/>
      <c r="C8" s="928" t="s">
        <v>269</v>
      </c>
      <c r="D8" s="931" t="s">
        <v>479</v>
      </c>
      <c r="E8" s="939" t="s">
        <v>101</v>
      </c>
      <c r="F8" s="940"/>
      <c r="G8" s="929" t="s">
        <v>269</v>
      </c>
      <c r="H8" s="928" t="s">
        <v>479</v>
      </c>
      <c r="I8" s="941" t="s">
        <v>101</v>
      </c>
      <c r="J8" s="942"/>
      <c r="K8" s="938"/>
      <c r="L8" s="928"/>
    </row>
    <row r="9" spans="1:12" ht="78.75" customHeight="1">
      <c r="A9" s="937"/>
      <c r="B9" s="929"/>
      <c r="C9" s="928"/>
      <c r="D9" s="929"/>
      <c r="E9" s="225" t="s">
        <v>746</v>
      </c>
      <c r="F9" s="225" t="s">
        <v>480</v>
      </c>
      <c r="G9" s="928"/>
      <c r="H9" s="928"/>
      <c r="I9" s="225" t="s">
        <v>746</v>
      </c>
      <c r="J9" s="225" t="s">
        <v>480</v>
      </c>
      <c r="K9" s="929"/>
      <c r="L9" s="928"/>
    </row>
    <row r="10" spans="1:12" ht="13.5">
      <c r="A10" s="98">
        <v>1</v>
      </c>
      <c r="B10" s="97">
        <v>2</v>
      </c>
      <c r="C10" s="98">
        <v>3</v>
      </c>
      <c r="D10" s="97">
        <v>4</v>
      </c>
      <c r="E10" s="98">
        <v>5</v>
      </c>
      <c r="F10" s="97">
        <v>6</v>
      </c>
      <c r="G10" s="98">
        <v>7</v>
      </c>
      <c r="H10" s="97">
        <v>8</v>
      </c>
      <c r="I10" s="98">
        <v>9</v>
      </c>
      <c r="J10" s="97">
        <v>10</v>
      </c>
      <c r="K10" s="98">
        <v>11</v>
      </c>
      <c r="L10" s="97">
        <v>12</v>
      </c>
    </row>
    <row r="11" spans="1:22" s="74" customFormat="1" ht="39.75" customHeight="1">
      <c r="A11" s="229">
        <v>1</v>
      </c>
      <c r="B11" s="230" t="s">
        <v>632</v>
      </c>
      <c r="C11" s="100">
        <v>13822</v>
      </c>
      <c r="D11" s="100">
        <v>474</v>
      </c>
      <c r="E11" s="100">
        <v>472</v>
      </c>
      <c r="F11" s="201">
        <v>0</v>
      </c>
      <c r="G11" s="341">
        <v>11503</v>
      </c>
      <c r="H11" s="100">
        <v>229</v>
      </c>
      <c r="I11" s="100">
        <v>229</v>
      </c>
      <c r="J11" s="342">
        <v>0</v>
      </c>
      <c r="K11" s="343">
        <f>D11+H11</f>
        <v>703</v>
      </c>
      <c r="L11" s="200">
        <f>K11*10*0.009</f>
        <v>63.269999999999996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12" ht="48.75" customHeight="1">
      <c r="A12" s="229">
        <v>2</v>
      </c>
      <c r="B12" s="230" t="s">
        <v>633</v>
      </c>
      <c r="C12" s="100">
        <v>8143</v>
      </c>
      <c r="D12" s="100">
        <v>233</v>
      </c>
      <c r="E12" s="100">
        <v>218</v>
      </c>
      <c r="F12" s="201">
        <v>0</v>
      </c>
      <c r="G12" s="341">
        <v>6904</v>
      </c>
      <c r="H12" s="100">
        <v>206</v>
      </c>
      <c r="I12" s="100">
        <v>206</v>
      </c>
      <c r="J12" s="342">
        <v>0</v>
      </c>
      <c r="K12" s="343">
        <f>D12+H12</f>
        <v>439</v>
      </c>
      <c r="L12" s="200">
        <f>K12*10*0.009</f>
        <v>39.51</v>
      </c>
    </row>
    <row r="13" spans="1:12" ht="41.25" customHeight="1">
      <c r="A13" s="229">
        <v>3</v>
      </c>
      <c r="B13" s="229" t="s">
        <v>634</v>
      </c>
      <c r="C13" s="100">
        <v>2576</v>
      </c>
      <c r="D13" s="100">
        <v>94</v>
      </c>
      <c r="E13" s="100">
        <v>67</v>
      </c>
      <c r="F13" s="200">
        <v>0</v>
      </c>
      <c r="G13" s="341">
        <v>1858</v>
      </c>
      <c r="H13" s="100">
        <v>83</v>
      </c>
      <c r="I13" s="100">
        <v>83</v>
      </c>
      <c r="J13" s="342">
        <v>0</v>
      </c>
      <c r="K13" s="343">
        <f>D13+H13</f>
        <v>177</v>
      </c>
      <c r="L13" s="343">
        <f>K13*10*0.009</f>
        <v>15.929999999999998</v>
      </c>
    </row>
    <row r="14" spans="1:12" ht="47.25" customHeight="1">
      <c r="A14" s="229">
        <v>4</v>
      </c>
      <c r="B14" s="229" t="s">
        <v>635</v>
      </c>
      <c r="C14" s="100">
        <v>8892</v>
      </c>
      <c r="D14" s="100">
        <v>393</v>
      </c>
      <c r="E14" s="100">
        <v>392</v>
      </c>
      <c r="F14" s="200">
        <v>0</v>
      </c>
      <c r="G14" s="341">
        <v>6993</v>
      </c>
      <c r="H14" s="100">
        <v>179</v>
      </c>
      <c r="I14" s="100">
        <v>179</v>
      </c>
      <c r="J14" s="342">
        <v>0</v>
      </c>
      <c r="K14" s="343">
        <f>D14+H14</f>
        <v>572</v>
      </c>
      <c r="L14" s="200">
        <f>K14*10*0.009</f>
        <v>51.48</v>
      </c>
    </row>
    <row r="15" spans="1:14" ht="42.75" customHeight="1">
      <c r="A15" s="943" t="s">
        <v>19</v>
      </c>
      <c r="B15" s="944"/>
      <c r="C15" s="106">
        <f>SUM(C11:C14)</f>
        <v>33433</v>
      </c>
      <c r="D15" s="165">
        <v>1194</v>
      </c>
      <c r="E15" s="106">
        <v>1149</v>
      </c>
      <c r="F15" s="165">
        <v>0</v>
      </c>
      <c r="G15" s="205">
        <f>SUM(G11:G14)</f>
        <v>27258</v>
      </c>
      <c r="H15" s="106">
        <v>697</v>
      </c>
      <c r="I15" s="106">
        <v>697</v>
      </c>
      <c r="J15" s="342">
        <v>0</v>
      </c>
      <c r="K15" s="411">
        <f>SUM(K11:K14)</f>
        <v>1891</v>
      </c>
      <c r="L15" s="165">
        <f>SUM(L11:L14)</f>
        <v>170.19</v>
      </c>
      <c r="N15" s="55" t="s">
        <v>11</v>
      </c>
    </row>
    <row r="16" spans="1:12" ht="13.5">
      <c r="A16" s="932" t="s">
        <v>126</v>
      </c>
      <c r="B16" s="933"/>
      <c r="C16" s="933"/>
      <c r="D16" s="933"/>
      <c r="E16" s="933"/>
      <c r="F16" s="933"/>
      <c r="G16" s="933"/>
      <c r="H16" s="933"/>
      <c r="I16" s="933"/>
      <c r="J16" s="933"/>
      <c r="K16" s="934"/>
      <c r="L16" s="934"/>
    </row>
    <row r="17" spans="1:15" ht="15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7"/>
      <c r="L17" s="197"/>
      <c r="N17" s="55">
        <f>D15+H15</f>
        <v>1891</v>
      </c>
      <c r="O17" s="55">
        <f>E15+I15</f>
        <v>1846</v>
      </c>
    </row>
    <row r="18" spans="1:12" ht="15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7"/>
      <c r="L18" s="197"/>
    </row>
    <row r="19" spans="1:12" ht="10.5" customHeight="1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7"/>
      <c r="L19" s="197"/>
    </row>
    <row r="20" spans="1:12" ht="15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7"/>
      <c r="L20" s="197"/>
    </row>
    <row r="21" spans="1:12" ht="15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7"/>
      <c r="L21" s="197"/>
    </row>
    <row r="22" spans="1:12" ht="15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7"/>
      <c r="L22" s="197"/>
    </row>
    <row r="23" spans="1:12" ht="15">
      <c r="A23" s="195"/>
      <c r="B23" s="196"/>
      <c r="C23" s="196"/>
      <c r="D23" s="196"/>
      <c r="E23" s="196"/>
      <c r="F23" s="196"/>
      <c r="G23" s="196"/>
      <c r="H23" s="196"/>
      <c r="I23" s="196"/>
      <c r="J23" s="196"/>
      <c r="K23" s="197"/>
      <c r="L23" s="197"/>
    </row>
    <row r="24" spans="1:12" ht="15">
      <c r="A24" s="195"/>
      <c r="B24" s="196"/>
      <c r="C24" s="196"/>
      <c r="D24" s="196"/>
      <c r="E24" s="196"/>
      <c r="F24" s="196"/>
      <c r="G24" s="196"/>
      <c r="H24" s="196"/>
      <c r="I24" s="196"/>
      <c r="J24" s="196"/>
      <c r="K24" s="197"/>
      <c r="L24" s="197"/>
    </row>
    <row r="25" spans="1:12" ht="15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7"/>
      <c r="L25" s="197"/>
    </row>
    <row r="26" spans="1:12" ht="15">
      <c r="A26" s="195"/>
      <c r="B26" s="196"/>
      <c r="C26" s="196"/>
      <c r="D26" s="196"/>
      <c r="E26" s="196"/>
      <c r="F26" s="196"/>
      <c r="G26" s="196"/>
      <c r="H26" s="196"/>
      <c r="I26" s="196"/>
      <c r="J26" s="196"/>
      <c r="K26" s="197"/>
      <c r="L26" s="197"/>
    </row>
    <row r="28" spans="1:12" ht="17.25" customHeight="1">
      <c r="A28" s="585" t="s">
        <v>12</v>
      </c>
      <c r="B28" s="585"/>
      <c r="C28" s="3"/>
      <c r="D28" s="13"/>
      <c r="E28" s="13"/>
      <c r="F28" s="2"/>
      <c r="G28" s="2"/>
      <c r="H28" s="63"/>
      <c r="I28" s="63"/>
      <c r="J28" s="2"/>
      <c r="K28" s="617" t="s">
        <v>13</v>
      </c>
      <c r="L28" s="617"/>
    </row>
    <row r="29" spans="1:12" ht="13.5">
      <c r="A29" s="2"/>
      <c r="B29" s="2"/>
      <c r="C29" s="2"/>
      <c r="D29" s="2"/>
      <c r="E29" s="2"/>
      <c r="F29" s="2"/>
      <c r="G29" s="2"/>
      <c r="H29" s="2"/>
      <c r="I29" s="2"/>
      <c r="J29" s="617" t="s">
        <v>628</v>
      </c>
      <c r="K29" s="617"/>
      <c r="L29" s="617"/>
    </row>
    <row r="30" spans="10:12" s="2" customFormat="1" ht="15.75" customHeight="1">
      <c r="J30" s="63" t="s">
        <v>98</v>
      </c>
      <c r="K30" s="63"/>
      <c r="L30" s="63"/>
    </row>
    <row r="31" spans="2:19" s="2" customFormat="1" ht="12.75" customHeight="1">
      <c r="B31" s="13"/>
      <c r="C31" s="13"/>
      <c r="D31" s="13"/>
      <c r="E31" s="13"/>
      <c r="J31" s="579" t="s">
        <v>629</v>
      </c>
      <c r="K31" s="579"/>
      <c r="L31" s="579"/>
      <c r="M31" s="63"/>
      <c r="N31" s="63"/>
      <c r="O31" s="63"/>
      <c r="P31" s="63"/>
      <c r="Q31" s="63"/>
      <c r="R31" s="63"/>
      <c r="S31" s="63"/>
    </row>
    <row r="32" spans="1:19" s="2" customFormat="1" ht="13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63"/>
      <c r="N32" s="63"/>
      <c r="O32" s="63"/>
      <c r="P32" s="63"/>
      <c r="Q32" s="63"/>
      <c r="R32" s="63"/>
      <c r="S32" s="63"/>
    </row>
    <row r="33" spans="1:12" s="2" customFormat="1" ht="13.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</sheetData>
  <sheetProtection/>
  <mergeCells count="23">
    <mergeCell ref="A15:B15"/>
    <mergeCell ref="K1:L1"/>
    <mergeCell ref="G7:J7"/>
    <mergeCell ref="A6:B6"/>
    <mergeCell ref="B5:L5"/>
    <mergeCell ref="B2:L2"/>
    <mergeCell ref="B3:K3"/>
    <mergeCell ref="J31:L31"/>
    <mergeCell ref="L7:L9"/>
    <mergeCell ref="A16:L16"/>
    <mergeCell ref="A7:A9"/>
    <mergeCell ref="B7:B9"/>
    <mergeCell ref="K7:K9"/>
    <mergeCell ref="E8:F8"/>
    <mergeCell ref="I8:J8"/>
    <mergeCell ref="A28:B28"/>
    <mergeCell ref="C8:C9"/>
    <mergeCell ref="J29:L29"/>
    <mergeCell ref="K28:L28"/>
    <mergeCell ref="H8:H9"/>
    <mergeCell ref="G8:G9"/>
    <mergeCell ref="C7:F7"/>
    <mergeCell ref="D8:D9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1"/>
  <sheetViews>
    <sheetView view="pageBreakPreview" zoomScale="69" zoomScaleSheetLayoutView="69" zoomScalePageLayoutView="0" workbookViewId="0" topLeftCell="A8">
      <selection activeCell="AA19" sqref="AA19"/>
    </sheetView>
  </sheetViews>
  <sheetFormatPr defaultColWidth="9.140625" defaultRowHeight="12.75"/>
  <cols>
    <col min="1" max="1" width="4.7109375" style="2" customWidth="1"/>
    <col min="2" max="2" width="20.28125" style="2" customWidth="1"/>
    <col min="3" max="3" width="10.28125" style="2" customWidth="1"/>
    <col min="4" max="5" width="7.8515625" style="2" customWidth="1"/>
    <col min="6" max="6" width="9.7109375" style="2" customWidth="1"/>
    <col min="7" max="11" width="7.8515625" style="2" customWidth="1"/>
    <col min="12" max="17" width="8.00390625" style="2" customWidth="1"/>
    <col min="18" max="18" width="9.8515625" style="2" customWidth="1"/>
    <col min="19" max="23" width="8.00390625" style="2" customWidth="1"/>
    <col min="24" max="16384" width="9.140625" style="2" customWidth="1"/>
  </cols>
  <sheetData>
    <row r="1" spans="15:21" ht="15">
      <c r="O1" s="723" t="s">
        <v>735</v>
      </c>
      <c r="P1" s="723"/>
      <c r="Q1" s="723"/>
      <c r="R1" s="723"/>
      <c r="S1" s="723"/>
      <c r="T1" s="723"/>
      <c r="U1" s="723"/>
    </row>
    <row r="2" spans="1:23" ht="1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</row>
    <row r="3" spans="6:21" ht="15">
      <c r="F3" s="12"/>
      <c r="G3" s="12"/>
      <c r="H3" s="1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ht="18">
      <c r="B4" s="704" t="s">
        <v>841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</row>
    <row r="6" spans="2:21" ht="19.5">
      <c r="B6" s="967" t="s">
        <v>911</v>
      </c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  <c r="U6" s="967"/>
    </row>
    <row r="8" spans="1:2" ht="12.75">
      <c r="A8" s="579" t="s">
        <v>643</v>
      </c>
      <c r="B8" s="579"/>
    </row>
    <row r="9" spans="1:23" ht="18">
      <c r="A9" s="68"/>
      <c r="B9" s="68"/>
      <c r="V9" s="719" t="s">
        <v>277</v>
      </c>
      <c r="W9" s="719"/>
    </row>
    <row r="10" spans="1:249" ht="30" customHeight="1">
      <c r="A10" s="956" t="s">
        <v>2</v>
      </c>
      <c r="B10" s="956" t="s">
        <v>114</v>
      </c>
      <c r="C10" s="958" t="s">
        <v>27</v>
      </c>
      <c r="D10" s="959"/>
      <c r="E10" s="959"/>
      <c r="F10" s="959"/>
      <c r="G10" s="959"/>
      <c r="H10" s="959"/>
      <c r="I10" s="959"/>
      <c r="J10" s="959"/>
      <c r="K10" s="960"/>
      <c r="L10" s="958" t="s">
        <v>28</v>
      </c>
      <c r="M10" s="959"/>
      <c r="N10" s="959"/>
      <c r="O10" s="959"/>
      <c r="P10" s="959"/>
      <c r="Q10" s="959"/>
      <c r="R10" s="959"/>
      <c r="S10" s="959"/>
      <c r="T10" s="960"/>
      <c r="U10" s="961" t="s">
        <v>156</v>
      </c>
      <c r="V10" s="962"/>
      <c r="W10" s="963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24.75" customHeight="1">
      <c r="A11" s="957"/>
      <c r="B11" s="957"/>
      <c r="C11" s="953" t="s">
        <v>194</v>
      </c>
      <c r="D11" s="954"/>
      <c r="E11" s="955"/>
      <c r="F11" s="953" t="s">
        <v>195</v>
      </c>
      <c r="G11" s="954"/>
      <c r="H11" s="955"/>
      <c r="I11" s="953" t="s">
        <v>19</v>
      </c>
      <c r="J11" s="954"/>
      <c r="K11" s="955"/>
      <c r="L11" s="953" t="s">
        <v>194</v>
      </c>
      <c r="M11" s="954"/>
      <c r="N11" s="955"/>
      <c r="O11" s="953" t="s">
        <v>195</v>
      </c>
      <c r="P11" s="954"/>
      <c r="Q11" s="955"/>
      <c r="R11" s="953" t="s">
        <v>19</v>
      </c>
      <c r="S11" s="954"/>
      <c r="T11" s="955"/>
      <c r="U11" s="964"/>
      <c r="V11" s="965"/>
      <c r="W11" s="966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27" customHeight="1">
      <c r="A12" s="49"/>
      <c r="B12" s="49"/>
      <c r="C12" s="113" t="s">
        <v>278</v>
      </c>
      <c r="D12" s="114" t="s">
        <v>45</v>
      </c>
      <c r="E12" s="115" t="s">
        <v>46</v>
      </c>
      <c r="F12" s="113" t="s">
        <v>278</v>
      </c>
      <c r="G12" s="114" t="s">
        <v>45</v>
      </c>
      <c r="H12" s="115" t="s">
        <v>46</v>
      </c>
      <c r="I12" s="113" t="s">
        <v>278</v>
      </c>
      <c r="J12" s="114" t="s">
        <v>45</v>
      </c>
      <c r="K12" s="115" t="s">
        <v>46</v>
      </c>
      <c r="L12" s="113" t="s">
        <v>278</v>
      </c>
      <c r="M12" s="114" t="s">
        <v>45</v>
      </c>
      <c r="N12" s="115" t="s">
        <v>46</v>
      </c>
      <c r="O12" s="113" t="s">
        <v>278</v>
      </c>
      <c r="P12" s="114" t="s">
        <v>45</v>
      </c>
      <c r="Q12" s="115" t="s">
        <v>46</v>
      </c>
      <c r="R12" s="113" t="s">
        <v>278</v>
      </c>
      <c r="S12" s="114" t="s">
        <v>45</v>
      </c>
      <c r="T12" s="115" t="s">
        <v>46</v>
      </c>
      <c r="U12" s="49" t="s">
        <v>278</v>
      </c>
      <c r="V12" s="49" t="s">
        <v>45</v>
      </c>
      <c r="W12" s="49" t="s">
        <v>46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20.25" customHeight="1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7</v>
      </c>
      <c r="G13" s="49">
        <v>8</v>
      </c>
      <c r="H13" s="49">
        <v>9</v>
      </c>
      <c r="I13" s="49">
        <v>11</v>
      </c>
      <c r="J13" s="49">
        <v>12</v>
      </c>
      <c r="K13" s="49">
        <v>13</v>
      </c>
      <c r="L13" s="49">
        <v>15</v>
      </c>
      <c r="M13" s="49">
        <v>16</v>
      </c>
      <c r="N13" s="49">
        <v>17</v>
      </c>
      <c r="O13" s="49">
        <v>19</v>
      </c>
      <c r="P13" s="49">
        <v>20</v>
      </c>
      <c r="Q13" s="49">
        <v>21</v>
      </c>
      <c r="R13" s="49">
        <v>23</v>
      </c>
      <c r="S13" s="49">
        <v>24</v>
      </c>
      <c r="T13" s="49">
        <v>25</v>
      </c>
      <c r="U13" s="49">
        <v>27</v>
      </c>
      <c r="V13" s="49">
        <v>28</v>
      </c>
      <c r="W13" s="49">
        <v>29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</row>
    <row r="14" spans="1:249" ht="12.75" customHeight="1">
      <c r="A14" s="951" t="s">
        <v>270</v>
      </c>
      <c r="B14" s="95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93"/>
      <c r="V14" s="23"/>
      <c r="W14" s="2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</row>
    <row r="15" spans="1:24" ht="24.75" customHeight="1">
      <c r="A15" s="106">
        <v>1</v>
      </c>
      <c r="B15" s="111" t="s">
        <v>136</v>
      </c>
      <c r="C15" s="514">
        <f>20.23*53/100</f>
        <v>10.7219</v>
      </c>
      <c r="D15" s="514">
        <f>20.23*7/100</f>
        <v>1.4161000000000001</v>
      </c>
      <c r="E15" s="514">
        <f>20.23*40/100</f>
        <v>8.092</v>
      </c>
      <c r="F15" s="514"/>
      <c r="G15" s="514"/>
      <c r="H15" s="514">
        <v>0</v>
      </c>
      <c r="I15" s="514">
        <f aca="true" t="shared" si="0" ref="I15:K19">C15+F15</f>
        <v>10.7219</v>
      </c>
      <c r="J15" s="514">
        <f t="shared" si="0"/>
        <v>1.4161000000000001</v>
      </c>
      <c r="K15" s="514">
        <f t="shared" si="0"/>
        <v>8.092</v>
      </c>
      <c r="L15" s="514">
        <f>24.85*53/100</f>
        <v>13.170500000000002</v>
      </c>
      <c r="M15" s="514">
        <f>24.85*7/100</f>
        <v>1.7395000000000003</v>
      </c>
      <c r="N15" s="514">
        <f>24.85*40/100</f>
        <v>9.94</v>
      </c>
      <c r="O15" s="516"/>
      <c r="P15" s="516">
        <v>0</v>
      </c>
      <c r="Q15" s="516">
        <v>0</v>
      </c>
      <c r="R15" s="516">
        <f aca="true" t="shared" si="1" ref="R15:T19">L15+O15</f>
        <v>13.170500000000002</v>
      </c>
      <c r="S15" s="516">
        <f t="shared" si="1"/>
        <v>1.7395000000000003</v>
      </c>
      <c r="T15" s="516">
        <f t="shared" si="1"/>
        <v>9.94</v>
      </c>
      <c r="U15" s="516">
        <f aca="true" t="shared" si="2" ref="U15:W19">I15+R15</f>
        <v>23.892400000000002</v>
      </c>
      <c r="V15" s="516">
        <f t="shared" si="2"/>
        <v>3.1556000000000006</v>
      </c>
      <c r="W15" s="516">
        <f t="shared" si="2"/>
        <v>18.032</v>
      </c>
      <c r="X15" s="213"/>
    </row>
    <row r="16" spans="1:24" ht="33.75" customHeight="1">
      <c r="A16" s="106">
        <v>2</v>
      </c>
      <c r="B16" s="110" t="s">
        <v>522</v>
      </c>
      <c r="C16" s="514">
        <f>263.64*53/100</f>
        <v>139.7292</v>
      </c>
      <c r="D16" s="514">
        <f>263.64*7/100</f>
        <v>18.4548</v>
      </c>
      <c r="E16" s="514">
        <f>263.64*40/100</f>
        <v>105.45599999999999</v>
      </c>
      <c r="F16" s="514">
        <f>29.67*53/100</f>
        <v>15.7251</v>
      </c>
      <c r="G16" s="514">
        <f>29.67*7/100</f>
        <v>2.0769</v>
      </c>
      <c r="H16" s="514">
        <f>29.67*40/100</f>
        <v>11.868000000000002</v>
      </c>
      <c r="I16" s="514">
        <f t="shared" si="0"/>
        <v>155.4543</v>
      </c>
      <c r="J16" s="514">
        <f t="shared" si="0"/>
        <v>20.5317</v>
      </c>
      <c r="K16" s="514">
        <f t="shared" si="0"/>
        <v>117.32399999999998</v>
      </c>
      <c r="L16" s="514">
        <f>323.56*53/100</f>
        <v>171.48680000000002</v>
      </c>
      <c r="M16" s="514">
        <f>323.56*7/100</f>
        <v>22.6492</v>
      </c>
      <c r="N16" s="514">
        <f>323.56*40/100</f>
        <v>129.424</v>
      </c>
      <c r="O16" s="516">
        <f>35.89*53/100</f>
        <v>19.0217</v>
      </c>
      <c r="P16" s="516">
        <f>35.89*7/100</f>
        <v>2.5123</v>
      </c>
      <c r="Q16" s="516">
        <f>35.89*40/100</f>
        <v>14.356</v>
      </c>
      <c r="R16" s="516">
        <f t="shared" si="1"/>
        <v>190.50850000000003</v>
      </c>
      <c r="S16" s="516">
        <f t="shared" si="1"/>
        <v>25.1615</v>
      </c>
      <c r="T16" s="516">
        <f t="shared" si="1"/>
        <v>143.78</v>
      </c>
      <c r="U16" s="516">
        <f t="shared" si="2"/>
        <v>345.9628</v>
      </c>
      <c r="V16" s="516">
        <f t="shared" si="2"/>
        <v>45.693200000000004</v>
      </c>
      <c r="W16" s="516">
        <f t="shared" si="2"/>
        <v>261.104</v>
      </c>
      <c r="X16" s="213"/>
    </row>
    <row r="17" spans="1:24" ht="36" customHeight="1">
      <c r="A17" s="106">
        <v>3</v>
      </c>
      <c r="B17" s="110" t="s">
        <v>140</v>
      </c>
      <c r="C17" s="514">
        <f>107.46*53/100</f>
        <v>56.9538</v>
      </c>
      <c r="D17" s="514">
        <f>107.46*7/100</f>
        <v>7.522199999999999</v>
      </c>
      <c r="E17" s="514">
        <f>107.46*40/100</f>
        <v>42.983999999999995</v>
      </c>
      <c r="F17" s="514">
        <f>11.94*53/100</f>
        <v>6.328199999999999</v>
      </c>
      <c r="G17" s="514">
        <f>11.94*7/100</f>
        <v>0.8358</v>
      </c>
      <c r="H17" s="514">
        <f>11.94*40/100</f>
        <v>4.776</v>
      </c>
      <c r="I17" s="514">
        <f t="shared" si="0"/>
        <v>63.282</v>
      </c>
      <c r="J17" s="514">
        <f t="shared" si="0"/>
        <v>8.357999999999999</v>
      </c>
      <c r="K17" s="514">
        <f t="shared" si="0"/>
        <v>47.75999999999999</v>
      </c>
      <c r="L17" s="514">
        <f>62.73*53/100</f>
        <v>33.246900000000004</v>
      </c>
      <c r="M17" s="514">
        <f>62.73*7/100</f>
        <v>4.3911</v>
      </c>
      <c r="N17" s="514">
        <f>62.73*40/100</f>
        <v>25.092</v>
      </c>
      <c r="O17" s="516">
        <f>6.97*53/100</f>
        <v>3.6940999999999997</v>
      </c>
      <c r="P17" s="516">
        <f>6.97*7/100</f>
        <v>0.4879</v>
      </c>
      <c r="Q17" s="516">
        <f>6.97*40/100</f>
        <v>2.7880000000000003</v>
      </c>
      <c r="R17" s="516">
        <f t="shared" si="1"/>
        <v>36.941</v>
      </c>
      <c r="S17" s="516">
        <f t="shared" si="1"/>
        <v>4.879</v>
      </c>
      <c r="T17" s="516">
        <f t="shared" si="1"/>
        <v>27.88</v>
      </c>
      <c r="U17" s="516">
        <f t="shared" si="2"/>
        <v>100.223</v>
      </c>
      <c r="V17" s="516">
        <f t="shared" si="2"/>
        <v>13.236999999999998</v>
      </c>
      <c r="W17" s="516">
        <f t="shared" si="2"/>
        <v>75.63999999999999</v>
      </c>
      <c r="X17" s="213"/>
    </row>
    <row r="18" spans="1:24" ht="37.5" customHeight="1">
      <c r="A18" s="106">
        <v>4</v>
      </c>
      <c r="B18" s="110" t="s">
        <v>138</v>
      </c>
      <c r="C18" s="514">
        <f>12.27*53/100</f>
        <v>6.5031</v>
      </c>
      <c r="D18" s="514">
        <f>12.27*7/100</f>
        <v>0.8589</v>
      </c>
      <c r="E18" s="514">
        <f>12.27*40/100</f>
        <v>4.9079999999999995</v>
      </c>
      <c r="F18" s="514">
        <v>0</v>
      </c>
      <c r="G18" s="514">
        <v>0</v>
      </c>
      <c r="H18" s="514">
        <v>0</v>
      </c>
      <c r="I18" s="514">
        <f t="shared" si="0"/>
        <v>6.5031</v>
      </c>
      <c r="J18" s="514">
        <f t="shared" si="0"/>
        <v>0.8589</v>
      </c>
      <c r="K18" s="514">
        <f t="shared" si="0"/>
        <v>4.9079999999999995</v>
      </c>
      <c r="L18" s="514">
        <f>15.07*53/100</f>
        <v>7.987100000000001</v>
      </c>
      <c r="M18" s="514">
        <f>15.07*7/100</f>
        <v>1.0549000000000002</v>
      </c>
      <c r="N18" s="514">
        <f>15.07*40/100</f>
        <v>6.028</v>
      </c>
      <c r="O18" s="516"/>
      <c r="P18" s="516">
        <v>0</v>
      </c>
      <c r="Q18" s="516">
        <v>0</v>
      </c>
      <c r="R18" s="516">
        <f t="shared" si="1"/>
        <v>7.987100000000001</v>
      </c>
      <c r="S18" s="516">
        <f t="shared" si="1"/>
        <v>1.0549000000000002</v>
      </c>
      <c r="T18" s="516">
        <f t="shared" si="1"/>
        <v>6.028</v>
      </c>
      <c r="U18" s="516">
        <f t="shared" si="2"/>
        <v>14.490200000000002</v>
      </c>
      <c r="V18" s="516">
        <f t="shared" si="2"/>
        <v>1.9138000000000002</v>
      </c>
      <c r="W18" s="516">
        <f t="shared" si="2"/>
        <v>10.936</v>
      </c>
      <c r="X18" s="213"/>
    </row>
    <row r="19" spans="1:24" ht="30.75" customHeight="1">
      <c r="A19" s="106">
        <v>5</v>
      </c>
      <c r="B19" s="111" t="s">
        <v>139</v>
      </c>
      <c r="C19" s="514">
        <f>10.9*53/100</f>
        <v>5.777</v>
      </c>
      <c r="D19" s="514">
        <f>10.9*7/100</f>
        <v>0.763</v>
      </c>
      <c r="E19" s="514">
        <f>10.9*40/100</f>
        <v>4.36</v>
      </c>
      <c r="F19" s="514"/>
      <c r="G19" s="514">
        <v>0</v>
      </c>
      <c r="H19" s="514">
        <v>0</v>
      </c>
      <c r="I19" s="514">
        <f t="shared" si="0"/>
        <v>5.777</v>
      </c>
      <c r="J19" s="514">
        <f t="shared" si="0"/>
        <v>0.763</v>
      </c>
      <c r="K19" s="514">
        <f t="shared" si="0"/>
        <v>4.36</v>
      </c>
      <c r="L19" s="514">
        <f>11.51*53/100</f>
        <v>6.1003</v>
      </c>
      <c r="M19" s="514">
        <f>11.51*7/100</f>
        <v>0.8057</v>
      </c>
      <c r="N19" s="514">
        <f>11.51*40/100</f>
        <v>4.604</v>
      </c>
      <c r="O19" s="516"/>
      <c r="P19" s="516">
        <v>0</v>
      </c>
      <c r="Q19" s="516">
        <v>0</v>
      </c>
      <c r="R19" s="516">
        <f t="shared" si="1"/>
        <v>6.1003</v>
      </c>
      <c r="S19" s="516">
        <f t="shared" si="1"/>
        <v>0.8057</v>
      </c>
      <c r="T19" s="516">
        <f t="shared" si="1"/>
        <v>4.604</v>
      </c>
      <c r="U19" s="516">
        <f t="shared" si="2"/>
        <v>11.8773</v>
      </c>
      <c r="V19" s="516">
        <f t="shared" si="2"/>
        <v>1.5687</v>
      </c>
      <c r="W19" s="516">
        <f t="shared" si="2"/>
        <v>8.964</v>
      </c>
      <c r="X19" s="270"/>
    </row>
    <row r="20" spans="1:24" ht="12.75" customHeight="1">
      <c r="A20" s="949" t="s">
        <v>271</v>
      </c>
      <c r="B20" s="950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6"/>
      <c r="P20" s="516"/>
      <c r="Q20" s="516"/>
      <c r="R20" s="516"/>
      <c r="S20" s="516"/>
      <c r="T20" s="516"/>
      <c r="U20" s="517"/>
      <c r="V20" s="517"/>
      <c r="W20" s="517"/>
      <c r="X20" s="412"/>
    </row>
    <row r="21" spans="1:24" ht="20.25" customHeight="1">
      <c r="A21" s="106">
        <v>6</v>
      </c>
      <c r="B21" s="111" t="s">
        <v>141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f aca="true" t="shared" si="3" ref="I21:K22">C21+F21</f>
        <v>0</v>
      </c>
      <c r="J21" s="514">
        <f t="shared" si="3"/>
        <v>0</v>
      </c>
      <c r="K21" s="514">
        <f t="shared" si="3"/>
        <v>0</v>
      </c>
      <c r="L21" s="514">
        <v>0</v>
      </c>
      <c r="M21" s="514">
        <v>0</v>
      </c>
      <c r="N21" s="514">
        <v>0</v>
      </c>
      <c r="O21" s="516">
        <v>0</v>
      </c>
      <c r="P21" s="516">
        <v>0</v>
      </c>
      <c r="Q21" s="516">
        <v>0</v>
      </c>
      <c r="R21" s="516">
        <v>0</v>
      </c>
      <c r="S21" s="516">
        <v>0</v>
      </c>
      <c r="T21" s="516">
        <v>0</v>
      </c>
      <c r="U21" s="516">
        <f aca="true" t="shared" si="4" ref="U21:W22">I21+R21</f>
        <v>0</v>
      </c>
      <c r="V21" s="516">
        <f t="shared" si="4"/>
        <v>0</v>
      </c>
      <c r="W21" s="516">
        <f t="shared" si="4"/>
        <v>0</v>
      </c>
      <c r="X21" s="269"/>
    </row>
    <row r="22" spans="1:24" ht="22.5" customHeight="1">
      <c r="A22" s="106">
        <v>7</v>
      </c>
      <c r="B22" s="111" t="s">
        <v>142</v>
      </c>
      <c r="C22" s="514">
        <v>0</v>
      </c>
      <c r="D22" s="514">
        <v>0</v>
      </c>
      <c r="E22" s="514">
        <v>0</v>
      </c>
      <c r="F22" s="514"/>
      <c r="G22" s="514">
        <v>0</v>
      </c>
      <c r="H22" s="514">
        <v>0</v>
      </c>
      <c r="I22" s="514">
        <f t="shared" si="3"/>
        <v>0</v>
      </c>
      <c r="J22" s="514">
        <f t="shared" si="3"/>
        <v>0</v>
      </c>
      <c r="K22" s="514">
        <f t="shared" si="3"/>
        <v>0</v>
      </c>
      <c r="L22" s="514">
        <v>0</v>
      </c>
      <c r="M22" s="514">
        <v>0</v>
      </c>
      <c r="N22" s="514">
        <v>0</v>
      </c>
      <c r="O22" s="516">
        <v>0</v>
      </c>
      <c r="P22" s="516">
        <v>0</v>
      </c>
      <c r="Q22" s="516">
        <v>0</v>
      </c>
      <c r="R22" s="516">
        <v>0</v>
      </c>
      <c r="S22" s="516">
        <v>0</v>
      </c>
      <c r="T22" s="516">
        <v>0</v>
      </c>
      <c r="U22" s="516">
        <f t="shared" si="4"/>
        <v>0</v>
      </c>
      <c r="V22" s="516">
        <f t="shared" si="4"/>
        <v>0</v>
      </c>
      <c r="W22" s="516">
        <f t="shared" si="4"/>
        <v>0</v>
      </c>
      <c r="X22" s="269"/>
    </row>
    <row r="23" spans="1:24" ht="12">
      <c r="A23" s="17" t="s">
        <v>7</v>
      </c>
      <c r="B23" s="116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6"/>
      <c r="P23" s="516"/>
      <c r="Q23" s="516"/>
      <c r="R23" s="516"/>
      <c r="S23" s="516"/>
      <c r="T23" s="516"/>
      <c r="U23" s="516"/>
      <c r="V23" s="516"/>
      <c r="W23" s="516"/>
      <c r="X23" s="269"/>
    </row>
    <row r="24" spans="1:24" ht="40.5" customHeight="1">
      <c r="A24" s="659" t="s">
        <v>19</v>
      </c>
      <c r="B24" s="854"/>
      <c r="C24" s="515">
        <f aca="true" t="shared" si="5" ref="C24:W24">SUM(C15:C23)</f>
        <v>219.68499999999997</v>
      </c>
      <c r="D24" s="515">
        <f t="shared" si="5"/>
        <v>29.014999999999997</v>
      </c>
      <c r="E24" s="515">
        <f t="shared" si="5"/>
        <v>165.79999999999998</v>
      </c>
      <c r="F24" s="515">
        <f t="shared" si="5"/>
        <v>22.0533</v>
      </c>
      <c r="G24" s="515">
        <f t="shared" si="5"/>
        <v>2.9127</v>
      </c>
      <c r="H24" s="515">
        <f t="shared" si="5"/>
        <v>16.644000000000002</v>
      </c>
      <c r="I24" s="515">
        <f t="shared" si="5"/>
        <v>241.73829999999995</v>
      </c>
      <c r="J24" s="515">
        <f t="shared" si="5"/>
        <v>31.927699999999998</v>
      </c>
      <c r="K24" s="515">
        <f t="shared" si="5"/>
        <v>182.444</v>
      </c>
      <c r="L24" s="515">
        <f t="shared" si="5"/>
        <v>231.99160000000003</v>
      </c>
      <c r="M24" s="515">
        <f t="shared" si="5"/>
        <v>30.640400000000003</v>
      </c>
      <c r="N24" s="515">
        <f t="shared" si="5"/>
        <v>175.08800000000002</v>
      </c>
      <c r="O24" s="518">
        <f t="shared" si="5"/>
        <v>22.715799999999998</v>
      </c>
      <c r="P24" s="518">
        <f t="shared" si="5"/>
        <v>3.0002000000000004</v>
      </c>
      <c r="Q24" s="518">
        <f t="shared" si="5"/>
        <v>17.144</v>
      </c>
      <c r="R24" s="518">
        <f t="shared" si="5"/>
        <v>254.70740000000004</v>
      </c>
      <c r="S24" s="518">
        <f t="shared" si="5"/>
        <v>33.640600000000006</v>
      </c>
      <c r="T24" s="518">
        <f t="shared" si="5"/>
        <v>192.232</v>
      </c>
      <c r="U24" s="523">
        <f t="shared" si="5"/>
        <v>496.44570000000004</v>
      </c>
      <c r="V24" s="523">
        <f t="shared" si="5"/>
        <v>65.56830000000001</v>
      </c>
      <c r="W24" s="524">
        <f t="shared" si="5"/>
        <v>374.67599999999993</v>
      </c>
      <c r="X24" s="526">
        <f>SUM(U24:W24)</f>
        <v>936.6899999999999</v>
      </c>
    </row>
    <row r="25" spans="1:22" ht="23.25" customHeight="1">
      <c r="A25" s="18"/>
      <c r="B25" s="346"/>
      <c r="C25" s="323"/>
      <c r="D25" s="323"/>
      <c r="E25" s="323"/>
      <c r="F25" s="323"/>
      <c r="G25" s="323"/>
      <c r="H25" s="347"/>
      <c r="I25" s="348"/>
      <c r="J25" s="347"/>
      <c r="K25" s="347"/>
      <c r="L25" s="347"/>
      <c r="M25" s="347"/>
      <c r="N25" s="347"/>
      <c r="O25" s="347"/>
      <c r="P25" s="347"/>
      <c r="Q25" s="347"/>
      <c r="R25" s="347"/>
      <c r="S25" s="349"/>
      <c r="T25" s="347"/>
      <c r="U25" s="347"/>
      <c r="V25" s="347"/>
    </row>
    <row r="26" spans="2:12" ht="12.75">
      <c r="B26" s="345"/>
      <c r="C26" s="166"/>
      <c r="D26" s="166"/>
      <c r="E26" s="166"/>
      <c r="F26" s="166"/>
      <c r="G26" s="166"/>
      <c r="I26" s="198"/>
      <c r="L26" s="525"/>
    </row>
    <row r="27" spans="2:14" ht="17.25">
      <c r="B27" s="345"/>
      <c r="C27" s="166"/>
      <c r="D27" s="166"/>
      <c r="E27" s="166"/>
      <c r="F27" s="166"/>
      <c r="G27" s="166"/>
      <c r="I27" s="198"/>
      <c r="L27" s="525"/>
      <c r="M27" s="513"/>
      <c r="N27" s="34"/>
    </row>
    <row r="28" spans="2:12" ht="12.75">
      <c r="B28" s="345"/>
      <c r="C28" s="166"/>
      <c r="D28" s="166"/>
      <c r="E28" s="166"/>
      <c r="F28" s="166"/>
      <c r="G28" s="166"/>
      <c r="I28" s="198"/>
      <c r="L28" s="525"/>
    </row>
    <row r="29" spans="2:12" ht="12.75">
      <c r="B29" s="132"/>
      <c r="C29" s="166"/>
      <c r="D29" s="166"/>
      <c r="E29" s="166"/>
      <c r="F29" s="166"/>
      <c r="G29" s="166"/>
      <c r="I29" s="198"/>
      <c r="L29" s="525"/>
    </row>
    <row r="30" spans="3:9" ht="12.75">
      <c r="C30" s="175"/>
      <c r="D30" s="175"/>
      <c r="E30" s="175"/>
      <c r="F30" s="175"/>
      <c r="G30" s="175"/>
      <c r="I30" s="198"/>
    </row>
    <row r="36" spans="1:21" ht="12">
      <c r="A36" s="786"/>
      <c r="B36" s="786"/>
      <c r="C36" s="786"/>
      <c r="D36" s="786"/>
      <c r="E36" s="786"/>
      <c r="F36" s="786"/>
      <c r="G36" s="786"/>
      <c r="H36" s="786"/>
      <c r="I36" s="786"/>
      <c r="J36" s="18"/>
      <c r="K36" s="18"/>
      <c r="L36" s="18"/>
      <c r="M36" s="18"/>
      <c r="N36" s="18"/>
      <c r="O36" s="786"/>
      <c r="P36" s="786"/>
      <c r="Q36" s="786"/>
      <c r="R36" s="786"/>
      <c r="S36" s="786"/>
      <c r="T36" s="786"/>
      <c r="U36" s="786"/>
    </row>
    <row r="38" spans="1:23" ht="15.75" customHeight="1">
      <c r="A38" s="12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R38" s="655" t="s">
        <v>13</v>
      </c>
      <c r="S38" s="655"/>
      <c r="T38" s="655"/>
      <c r="U38" s="655"/>
      <c r="V38" s="655"/>
      <c r="W38" s="655"/>
    </row>
    <row r="39" spans="1:23" ht="15.75" customHeight="1">
      <c r="A39" s="968" t="s">
        <v>14</v>
      </c>
      <c r="B39" s="968"/>
      <c r="C39" s="968"/>
      <c r="D39" s="968"/>
      <c r="E39" s="968"/>
      <c r="F39" s="968"/>
      <c r="G39" s="968"/>
      <c r="H39" s="968"/>
      <c r="I39" s="968"/>
      <c r="J39" s="968"/>
      <c r="K39" s="968"/>
      <c r="L39" s="968"/>
      <c r="M39" s="968"/>
      <c r="N39" s="968"/>
      <c r="O39" s="968"/>
      <c r="P39" s="968"/>
      <c r="Q39" s="968"/>
      <c r="R39" s="968"/>
      <c r="S39" s="968"/>
      <c r="T39" s="968"/>
      <c r="U39" s="968"/>
      <c r="V39" s="968"/>
      <c r="W39" s="968"/>
    </row>
    <row r="40" spans="1:23" ht="15.75" customHeight="1">
      <c r="A40" s="655" t="s">
        <v>15</v>
      </c>
      <c r="B40" s="655"/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5"/>
      <c r="W40" s="655"/>
    </row>
    <row r="41" spans="18:23" ht="12.75">
      <c r="R41" s="579" t="s">
        <v>86</v>
      </c>
      <c r="S41" s="579"/>
      <c r="T41" s="579"/>
      <c r="U41" s="579"/>
      <c r="V41" s="579"/>
      <c r="W41" s="579"/>
    </row>
  </sheetData>
  <sheetProtection/>
  <mergeCells count="26">
    <mergeCell ref="R41:W41"/>
    <mergeCell ref="A36:I36"/>
    <mergeCell ref="O36:U36"/>
    <mergeCell ref="R38:W38"/>
    <mergeCell ref="A39:W39"/>
    <mergeCell ref="A40:W40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A2:W2"/>
    <mergeCell ref="A24:B24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64" r:id="rId1"/>
  <colBreaks count="1" manualBreakCount="1">
    <brk id="23" max="6553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82" zoomScaleSheetLayoutView="82" zoomScalePageLayoutView="0" workbookViewId="0" topLeftCell="A1">
      <selection activeCell="R15" sqref="R15"/>
    </sheetView>
  </sheetViews>
  <sheetFormatPr defaultColWidth="9.140625" defaultRowHeight="12.75"/>
  <cols>
    <col min="1" max="1" width="5.57421875" style="166" customWidth="1"/>
    <col min="2" max="2" width="8.8515625" style="166" customWidth="1"/>
    <col min="3" max="3" width="10.28125" style="166" customWidth="1"/>
    <col min="4" max="4" width="8.421875" style="166" customWidth="1"/>
    <col min="5" max="6" width="9.8515625" style="166" customWidth="1"/>
    <col min="7" max="7" width="10.8515625" style="166" customWidth="1"/>
    <col min="8" max="8" width="11.57421875" style="166" customWidth="1"/>
    <col min="9" max="9" width="11.7109375" style="160" customWidth="1"/>
    <col min="10" max="10" width="9.421875" style="160" customWidth="1"/>
    <col min="11" max="11" width="8.00390625" style="160" customWidth="1"/>
    <col min="12" max="14" width="8.140625" style="160" customWidth="1"/>
    <col min="15" max="15" width="8.421875" style="160" customWidth="1"/>
    <col min="16" max="16" width="8.140625" style="160" customWidth="1"/>
    <col min="17" max="17" width="8.8515625" style="160" customWidth="1"/>
    <col min="18" max="18" width="8.140625" style="160" customWidth="1"/>
    <col min="19" max="19" width="11.00390625" style="160" customWidth="1"/>
    <col min="20" max="20" width="12.8515625" style="160" customWidth="1"/>
    <col min="21" max="16384" width="9.140625" style="160" customWidth="1"/>
  </cols>
  <sheetData>
    <row r="1" spans="7:20" ht="15">
      <c r="G1" s="837"/>
      <c r="H1" s="837"/>
      <c r="I1" s="837"/>
      <c r="J1" s="166"/>
      <c r="K1" s="166"/>
      <c r="L1" s="166"/>
      <c r="M1" s="166"/>
      <c r="N1" s="166"/>
      <c r="O1" s="166"/>
      <c r="P1" s="166"/>
      <c r="Q1" s="166"/>
      <c r="R1" s="166"/>
      <c r="S1" s="838" t="s">
        <v>727</v>
      </c>
      <c r="T1" s="838"/>
    </row>
    <row r="2" spans="1:20" ht="15">
      <c r="A2" s="839" t="s">
        <v>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</row>
    <row r="3" spans="1:20" ht="18">
      <c r="A3" s="840" t="s">
        <v>841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</row>
    <row r="4" spans="1:20" ht="12.75" customHeight="1">
      <c r="A4" s="841" t="s">
        <v>912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166"/>
      <c r="T4" s="166"/>
    </row>
    <row r="5" spans="1:20" s="161" customFormat="1" ht="7.5" customHeight="1">
      <c r="A5" s="841"/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176"/>
      <c r="T5" s="176"/>
    </row>
    <row r="6" spans="1:20" ht="12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</row>
    <row r="7" spans="1:20" ht="12.75">
      <c r="A7" s="217" t="s">
        <v>643</v>
      </c>
      <c r="B7" s="217"/>
      <c r="H7" s="169"/>
      <c r="I7" s="166"/>
      <c r="J7" s="166"/>
      <c r="K7" s="166"/>
      <c r="L7" s="843"/>
      <c r="M7" s="843"/>
      <c r="N7" s="843"/>
      <c r="O7" s="843"/>
      <c r="P7" s="843"/>
      <c r="Q7" s="843"/>
      <c r="R7" s="843"/>
      <c r="S7" s="843"/>
      <c r="T7" s="843"/>
    </row>
    <row r="8" spans="1:20" ht="30.75" customHeight="1">
      <c r="A8" s="677" t="s">
        <v>2</v>
      </c>
      <c r="B8" s="677" t="s">
        <v>3</v>
      </c>
      <c r="C8" s="698" t="s">
        <v>532</v>
      </c>
      <c r="D8" s="699"/>
      <c r="E8" s="699"/>
      <c r="F8" s="699"/>
      <c r="G8" s="847"/>
      <c r="H8" s="845" t="s">
        <v>87</v>
      </c>
      <c r="I8" s="698" t="s">
        <v>88</v>
      </c>
      <c r="J8" s="699"/>
      <c r="K8" s="699"/>
      <c r="L8" s="847"/>
      <c r="M8" s="698" t="s">
        <v>96</v>
      </c>
      <c r="N8" s="699"/>
      <c r="O8" s="699"/>
      <c r="P8" s="847"/>
      <c r="Q8" s="845" t="s">
        <v>200</v>
      </c>
      <c r="R8" s="969"/>
      <c r="S8" s="970"/>
      <c r="T8" s="677" t="s">
        <v>478</v>
      </c>
    </row>
    <row r="9" spans="1:20" ht="44.25" customHeight="1">
      <c r="A9" s="677"/>
      <c r="B9" s="677"/>
      <c r="C9" s="170" t="s">
        <v>642</v>
      </c>
      <c r="D9" s="170" t="s">
        <v>636</v>
      </c>
      <c r="E9" s="170" t="s">
        <v>637</v>
      </c>
      <c r="F9" s="171" t="s">
        <v>105</v>
      </c>
      <c r="G9" s="171" t="s">
        <v>250</v>
      </c>
      <c r="H9" s="846"/>
      <c r="I9" s="170" t="s">
        <v>201</v>
      </c>
      <c r="J9" s="170" t="s">
        <v>121</v>
      </c>
      <c r="K9" s="170" t="s">
        <v>122</v>
      </c>
      <c r="L9" s="170" t="s">
        <v>477</v>
      </c>
      <c r="M9" s="170" t="s">
        <v>148</v>
      </c>
      <c r="N9" s="170" t="s">
        <v>150</v>
      </c>
      <c r="O9" s="170" t="s">
        <v>152</v>
      </c>
      <c r="P9" s="170" t="s">
        <v>476</v>
      </c>
      <c r="Q9" s="170" t="s">
        <v>171</v>
      </c>
      <c r="R9" s="171" t="s">
        <v>157</v>
      </c>
      <c r="S9" s="177" t="s">
        <v>19</v>
      </c>
      <c r="T9" s="677"/>
    </row>
    <row r="10" spans="1:20" s="162" customFormat="1" ht="12.75">
      <c r="A10" s="170">
        <v>1</v>
      </c>
      <c r="B10" s="170">
        <v>2</v>
      </c>
      <c r="C10" s="170">
        <v>3</v>
      </c>
      <c r="D10" s="170">
        <v>4</v>
      </c>
      <c r="E10" s="170">
        <v>5</v>
      </c>
      <c r="F10" s="170">
        <v>6</v>
      </c>
      <c r="G10" s="170">
        <v>7</v>
      </c>
      <c r="H10" s="170">
        <v>8</v>
      </c>
      <c r="I10" s="170">
        <v>9</v>
      </c>
      <c r="J10" s="170">
        <v>10</v>
      </c>
      <c r="K10" s="170">
        <v>11</v>
      </c>
      <c r="L10" s="170">
        <v>12</v>
      </c>
      <c r="M10" s="170">
        <v>13</v>
      </c>
      <c r="N10" s="170">
        <v>14</v>
      </c>
      <c r="O10" s="170">
        <v>15</v>
      </c>
      <c r="P10" s="170">
        <v>16</v>
      </c>
      <c r="Q10" s="170">
        <v>17</v>
      </c>
      <c r="R10" s="170">
        <v>18</v>
      </c>
      <c r="S10" s="170">
        <v>19</v>
      </c>
      <c r="T10" s="170">
        <v>20</v>
      </c>
    </row>
    <row r="11" spans="1:20" ht="35.25" customHeight="1">
      <c r="A11" s="219">
        <v>1</v>
      </c>
      <c r="B11" s="219" t="s">
        <v>632</v>
      </c>
      <c r="C11" s="508">
        <v>10583.357142857143</v>
      </c>
      <c r="D11" s="508">
        <v>901.0535714285714</v>
      </c>
      <c r="E11" s="508">
        <v>120.49553571428571</v>
      </c>
      <c r="F11" s="509">
        <v>0</v>
      </c>
      <c r="G11" s="508">
        <f>SUM(C11:F11)</f>
        <v>11604.90625</v>
      </c>
      <c r="H11" s="341">
        <v>228</v>
      </c>
      <c r="I11" s="262"/>
      <c r="J11" s="262">
        <f>G11*H11*0.0001</f>
        <v>264.5918625</v>
      </c>
      <c r="K11" s="266">
        <v>0</v>
      </c>
      <c r="L11" s="266">
        <v>0</v>
      </c>
      <c r="M11" s="262"/>
      <c r="N11" s="262">
        <f>J11*0.03</f>
        <v>7.937755875</v>
      </c>
      <c r="O11" s="333">
        <v>0</v>
      </c>
      <c r="P11" s="333">
        <v>0</v>
      </c>
      <c r="Q11" s="334">
        <f>G11*H11*0.0000391</f>
        <v>103.4554182375</v>
      </c>
      <c r="R11" s="334">
        <f>G11*H11*0.0000044</f>
        <v>11.642041950000001</v>
      </c>
      <c r="S11" s="334">
        <f>SUM(Q11:R11)</f>
        <v>115.0974601875</v>
      </c>
      <c r="T11" s="335">
        <f>J11*0.0182</f>
        <v>4.8155718975</v>
      </c>
    </row>
    <row r="12" spans="1:20" ht="36" customHeight="1">
      <c r="A12" s="219">
        <v>2</v>
      </c>
      <c r="B12" s="219" t="s">
        <v>633</v>
      </c>
      <c r="C12" s="508">
        <v>6951.160714285715</v>
      </c>
      <c r="D12" s="508">
        <v>288.75892857142856</v>
      </c>
      <c r="E12" s="508">
        <v>17.875</v>
      </c>
      <c r="F12" s="509">
        <v>0</v>
      </c>
      <c r="G12" s="508">
        <f>SUM(C12:F12)</f>
        <v>7257.794642857143</v>
      </c>
      <c r="H12" s="341">
        <v>228</v>
      </c>
      <c r="I12" s="262"/>
      <c r="J12" s="262">
        <f>G12*H12*0.0001</f>
        <v>165.47771785714286</v>
      </c>
      <c r="K12" s="266">
        <v>0</v>
      </c>
      <c r="L12" s="266">
        <v>0</v>
      </c>
      <c r="M12" s="262"/>
      <c r="N12" s="262">
        <f>J12*0.03</f>
        <v>4.964331535714286</v>
      </c>
      <c r="O12" s="333">
        <v>0</v>
      </c>
      <c r="P12" s="333">
        <v>0</v>
      </c>
      <c r="Q12" s="334">
        <f>G12*H12*0.0000391</f>
        <v>64.70178768214286</v>
      </c>
      <c r="R12" s="334">
        <f>G12*H12*0.0000044</f>
        <v>7.2810195857142865</v>
      </c>
      <c r="S12" s="334">
        <f>SUM(Q12:R12)</f>
        <v>71.98280726785715</v>
      </c>
      <c r="T12" s="335">
        <f>J12*0.0182</f>
        <v>3.011694465</v>
      </c>
    </row>
    <row r="13" spans="1:20" ht="33" customHeight="1">
      <c r="A13" s="219">
        <v>3</v>
      </c>
      <c r="B13" s="219" t="s">
        <v>634</v>
      </c>
      <c r="C13" s="508">
        <v>2243.7723214285716</v>
      </c>
      <c r="D13" s="508">
        <v>198.23660714285714</v>
      </c>
      <c r="E13" s="508">
        <v>0</v>
      </c>
      <c r="F13" s="509">
        <v>0</v>
      </c>
      <c r="G13" s="508">
        <f>SUM(C13:F13)</f>
        <v>2442.008928571429</v>
      </c>
      <c r="H13" s="341">
        <v>228</v>
      </c>
      <c r="I13" s="262"/>
      <c r="J13" s="262">
        <f>G13*H13*0.0001</f>
        <v>55.67780357142858</v>
      </c>
      <c r="K13" s="266">
        <v>0</v>
      </c>
      <c r="L13" s="266">
        <v>0</v>
      </c>
      <c r="M13" s="262"/>
      <c r="N13" s="262">
        <f>J13*0.03</f>
        <v>1.6703341071428575</v>
      </c>
      <c r="O13" s="333">
        <v>0</v>
      </c>
      <c r="P13" s="333">
        <v>0</v>
      </c>
      <c r="Q13" s="334">
        <f>G13*H13*0.0000391</f>
        <v>21.770021196428576</v>
      </c>
      <c r="R13" s="334">
        <f>G13*H13*0.0000044</f>
        <v>2.449823357142858</v>
      </c>
      <c r="S13" s="334">
        <f>SUM(Q13:R13)</f>
        <v>24.219844553571434</v>
      </c>
      <c r="T13" s="335">
        <f>J13*0.0182</f>
        <v>1.0133360250000003</v>
      </c>
    </row>
    <row r="14" spans="1:20" ht="31.5" customHeight="1">
      <c r="A14" s="219">
        <v>4</v>
      </c>
      <c r="B14" s="219" t="s">
        <v>635</v>
      </c>
      <c r="C14" s="508">
        <v>7765.223214285715</v>
      </c>
      <c r="D14" s="508">
        <v>425.625</v>
      </c>
      <c r="E14" s="508">
        <v>77.8125</v>
      </c>
      <c r="F14" s="509">
        <v>0</v>
      </c>
      <c r="G14" s="508">
        <f>SUM(C14:F14)</f>
        <v>8268.660714285714</v>
      </c>
      <c r="H14" s="341">
        <v>228</v>
      </c>
      <c r="I14" s="262"/>
      <c r="J14" s="262">
        <f>G14*H14*0.0001</f>
        <v>188.5254642857143</v>
      </c>
      <c r="K14" s="266">
        <v>0</v>
      </c>
      <c r="L14" s="266">
        <v>0</v>
      </c>
      <c r="M14" s="262"/>
      <c r="N14" s="262">
        <f>J14*0.03</f>
        <v>5.655763928571429</v>
      </c>
      <c r="O14" s="333">
        <v>0</v>
      </c>
      <c r="P14" s="333">
        <v>0</v>
      </c>
      <c r="Q14" s="334">
        <f>G14*H14*0.0000391</f>
        <v>73.71345653571429</v>
      </c>
      <c r="R14" s="334">
        <f>G14*H14*0.0000044</f>
        <v>8.295120428571428</v>
      </c>
      <c r="S14" s="334">
        <f>SUM(Q14:R14)</f>
        <v>82.00857696428571</v>
      </c>
      <c r="T14" s="335">
        <f>J14*0.0182</f>
        <v>3.43116345</v>
      </c>
    </row>
    <row r="15" spans="1:20" ht="33" customHeight="1">
      <c r="A15" s="222" t="s">
        <v>7</v>
      </c>
      <c r="B15" s="204" t="s">
        <v>19</v>
      </c>
      <c r="C15" s="510">
        <f>SUM(C11:C14)</f>
        <v>27543.513392857145</v>
      </c>
      <c r="D15" s="510">
        <f>SUM(D11:D14)</f>
        <v>1813.674107142857</v>
      </c>
      <c r="E15" s="510">
        <f>SUM(E11:E14)</f>
        <v>216.18303571428572</v>
      </c>
      <c r="F15" s="511">
        <v>0</v>
      </c>
      <c r="G15" s="510">
        <f>SUM(C15:F15)</f>
        <v>29573.37053571429</v>
      </c>
      <c r="H15" s="341">
        <v>228</v>
      </c>
      <c r="I15" s="263"/>
      <c r="J15" s="263">
        <f>G15*H15*0.0001</f>
        <v>674.2728482142859</v>
      </c>
      <c r="K15" s="339">
        <f>SUM(K11:K14)</f>
        <v>0</v>
      </c>
      <c r="L15" s="339">
        <f>SUM(L11:L14)</f>
        <v>0</v>
      </c>
      <c r="M15" s="263"/>
      <c r="N15" s="263">
        <f>SUM(N11:N14)</f>
        <v>20.228185446428572</v>
      </c>
      <c r="O15" s="336">
        <f>SUM(O11:O14)</f>
        <v>0</v>
      </c>
      <c r="P15" s="336">
        <f>SUM(P11:P14)</f>
        <v>0</v>
      </c>
      <c r="Q15" s="293">
        <f>G15*H15*0.0000391</f>
        <v>263.64068365178576</v>
      </c>
      <c r="R15" s="293">
        <f>SUM(R11:R14)</f>
        <v>29.668005321428573</v>
      </c>
      <c r="S15" s="293">
        <f>SUM(Q15:R15)</f>
        <v>293.3086889732143</v>
      </c>
      <c r="T15" s="337">
        <f>SUM(T11:T14)</f>
        <v>12.2717658375</v>
      </c>
    </row>
    <row r="16" spans="9:20" ht="12">
      <c r="I16" s="166"/>
      <c r="J16" s="166">
        <v>665.36</v>
      </c>
      <c r="K16" s="166"/>
      <c r="L16" s="166"/>
      <c r="M16" s="166"/>
      <c r="N16" s="166">
        <v>19.96</v>
      </c>
      <c r="O16" s="166"/>
      <c r="P16" s="166"/>
      <c r="Q16" s="166">
        <v>260.16</v>
      </c>
      <c r="R16" s="166">
        <v>29.28</v>
      </c>
      <c r="S16" s="166">
        <v>289.43</v>
      </c>
      <c r="T16" s="166">
        <v>12.11</v>
      </c>
    </row>
    <row r="17" spans="1:20" ht="12.75">
      <c r="A17" s="174" t="s">
        <v>8</v>
      </c>
      <c r="B17" s="175"/>
      <c r="C17" s="175"/>
      <c r="I17" s="166"/>
      <c r="J17" s="166"/>
      <c r="K17" s="166"/>
      <c r="L17" s="166"/>
      <c r="M17" s="166"/>
      <c r="N17" s="166"/>
      <c r="O17" s="166"/>
      <c r="P17" s="166"/>
      <c r="Q17" s="276"/>
      <c r="R17" s="166"/>
      <c r="S17" s="166"/>
      <c r="T17" s="166"/>
    </row>
    <row r="18" spans="1:20" ht="12.75">
      <c r="A18" s="175" t="s">
        <v>9</v>
      </c>
      <c r="B18" s="175"/>
      <c r="C18" s="175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0" ht="12.75">
      <c r="A19" s="175" t="s">
        <v>10</v>
      </c>
      <c r="B19" s="175"/>
      <c r="C19" s="175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</row>
    <row r="20" spans="1:20" ht="12.75">
      <c r="A20" s="844" t="s">
        <v>235</v>
      </c>
      <c r="B20" s="844"/>
      <c r="C20" s="844"/>
      <c r="D20" s="844"/>
      <c r="I20" s="166"/>
      <c r="J20" s="166"/>
      <c r="K20" s="166"/>
      <c r="L20" s="166"/>
      <c r="M20" s="178"/>
      <c r="N20" s="178"/>
      <c r="O20" s="178"/>
      <c r="P20" s="178"/>
      <c r="Q20" s="178"/>
      <c r="R20" s="178"/>
      <c r="S20" s="166"/>
      <c r="T20" s="166"/>
    </row>
    <row r="21" spans="1:20" ht="12.75">
      <c r="A21" s="174" t="s">
        <v>119</v>
      </c>
      <c r="B21" s="175" t="s">
        <v>202</v>
      </c>
      <c r="C21" s="175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0" ht="12.75">
      <c r="A22" s="174" t="s">
        <v>149</v>
      </c>
      <c r="B22" s="844" t="s">
        <v>686</v>
      </c>
      <c r="C22" s="844"/>
      <c r="D22" s="844"/>
      <c r="E22" s="844"/>
      <c r="F22" s="174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ht="12.75">
      <c r="A23" s="175" t="s">
        <v>151</v>
      </c>
      <c r="B23" s="844" t="s">
        <v>687</v>
      </c>
      <c r="C23" s="844"/>
      <c r="D23" s="844"/>
      <c r="E23" s="844"/>
      <c r="F23" s="174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0" ht="12.75">
      <c r="A24" s="175" t="s">
        <v>172</v>
      </c>
      <c r="B24" s="844" t="s">
        <v>688</v>
      </c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844"/>
      <c r="S24" s="166"/>
      <c r="T24" s="166"/>
    </row>
    <row r="25" spans="1:20" ht="12.75">
      <c r="A25" s="175" t="s">
        <v>123</v>
      </c>
      <c r="B25" s="175" t="s">
        <v>251</v>
      </c>
      <c r="C25" s="175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ht="12.75">
      <c r="A26" s="175" t="s">
        <v>124</v>
      </c>
      <c r="B26" s="175" t="s">
        <v>253</v>
      </c>
      <c r="C26" s="175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1:20" ht="12.75">
      <c r="A27" s="175"/>
      <c r="B27" s="175" t="s">
        <v>254</v>
      </c>
      <c r="C27" s="17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ht="12.75">
      <c r="A28" s="175"/>
      <c r="B28" s="175"/>
      <c r="C28" s="17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ht="12.75">
      <c r="A29" s="175"/>
      <c r="B29" s="175"/>
      <c r="C29" s="175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ht="12.75">
      <c r="A30" s="175"/>
      <c r="B30" s="175"/>
      <c r="C30" s="175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ht="12.75">
      <c r="A31" s="175"/>
      <c r="B31" s="175"/>
      <c r="C31" s="175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12.75">
      <c r="A32" s="175"/>
      <c r="B32" s="175"/>
      <c r="C32" s="175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ht="12.75">
      <c r="A33" s="175"/>
      <c r="B33" s="175"/>
      <c r="C33" s="175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</row>
    <row r="34" spans="1:20" ht="12.75">
      <c r="A34" s="175"/>
      <c r="B34" s="175"/>
      <c r="C34" s="175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20" ht="12.75">
      <c r="A35" s="175"/>
      <c r="B35" s="175"/>
      <c r="C35" s="175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ht="12.75">
      <c r="A36" s="175"/>
      <c r="B36" s="175"/>
      <c r="C36" s="175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20" ht="12.75">
      <c r="A37" s="175" t="s">
        <v>12</v>
      </c>
      <c r="H37" s="175"/>
      <c r="I37" s="166"/>
      <c r="J37" s="175"/>
      <c r="K37" s="175"/>
      <c r="L37" s="175"/>
      <c r="M37" s="175"/>
      <c r="N37" s="175"/>
      <c r="O37" s="175"/>
      <c r="P37" s="175"/>
      <c r="Q37" s="175"/>
      <c r="R37" s="175"/>
      <c r="S37" s="972" t="s">
        <v>13</v>
      </c>
      <c r="T37" s="972"/>
    </row>
    <row r="38" spans="9:20" ht="12.75">
      <c r="I38" s="175"/>
      <c r="J38" s="843" t="s">
        <v>14</v>
      </c>
      <c r="K38" s="843"/>
      <c r="L38" s="843"/>
      <c r="M38" s="843"/>
      <c r="N38" s="843"/>
      <c r="O38" s="843"/>
      <c r="P38" s="843"/>
      <c r="Q38" s="843"/>
      <c r="R38" s="843"/>
      <c r="S38" s="843"/>
      <c r="T38" s="843"/>
    </row>
    <row r="39" spans="9:20" ht="12.75">
      <c r="I39" s="843" t="s">
        <v>89</v>
      </c>
      <c r="J39" s="843"/>
      <c r="K39" s="843"/>
      <c r="L39" s="843"/>
      <c r="M39" s="843"/>
      <c r="N39" s="843"/>
      <c r="O39" s="843"/>
      <c r="P39" s="843"/>
      <c r="Q39" s="843"/>
      <c r="R39" s="843"/>
      <c r="S39" s="843"/>
      <c r="T39" s="843"/>
    </row>
    <row r="40" spans="1:20" ht="12.75" customHeight="1">
      <c r="A40" s="175"/>
      <c r="B40" s="175"/>
      <c r="I40" s="166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 t="s">
        <v>86</v>
      </c>
    </row>
    <row r="41" ht="12.75" customHeight="1"/>
    <row r="42" spans="1:20" ht="12">
      <c r="A42" s="971"/>
      <c r="B42" s="971"/>
      <c r="C42" s="971"/>
      <c r="D42" s="971"/>
      <c r="E42" s="971"/>
      <c r="F42" s="971"/>
      <c r="G42" s="971"/>
      <c r="H42" s="971"/>
      <c r="I42" s="971"/>
      <c r="J42" s="971"/>
      <c r="K42" s="971"/>
      <c r="L42" s="971"/>
      <c r="M42" s="971"/>
      <c r="N42" s="971"/>
      <c r="O42" s="971"/>
      <c r="P42" s="971"/>
      <c r="Q42" s="971"/>
      <c r="R42" s="971"/>
      <c r="S42" s="971"/>
      <c r="T42" s="971"/>
    </row>
  </sheetData>
  <sheetProtection/>
  <mergeCells count="23">
    <mergeCell ref="J38:T38"/>
    <mergeCell ref="I39:T39"/>
    <mergeCell ref="B23:E23"/>
    <mergeCell ref="B24:R24"/>
    <mergeCell ref="B22:E22"/>
    <mergeCell ref="A6:T6"/>
    <mergeCell ref="A4:R5"/>
    <mergeCell ref="A2:T2"/>
    <mergeCell ref="T8:T9"/>
    <mergeCell ref="M8:P8"/>
    <mergeCell ref="A3:T3"/>
    <mergeCell ref="L7:T7"/>
    <mergeCell ref="A8:A9"/>
    <mergeCell ref="G1:I1"/>
    <mergeCell ref="I8:L8"/>
    <mergeCell ref="Q8:S8"/>
    <mergeCell ref="H8:H9"/>
    <mergeCell ref="A42:T42"/>
    <mergeCell ref="B8:B9"/>
    <mergeCell ref="C8:G8"/>
    <mergeCell ref="A20:D20"/>
    <mergeCell ref="S37:T37"/>
    <mergeCell ref="S1:T1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1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80" zoomScaleSheetLayoutView="80" zoomScalePageLayoutView="0" workbookViewId="0" topLeftCell="A4">
      <selection activeCell="O18" sqref="O18"/>
    </sheetView>
  </sheetViews>
  <sheetFormatPr defaultColWidth="9.140625" defaultRowHeight="12.75"/>
  <cols>
    <col min="1" max="1" width="5.57421875" style="166" customWidth="1"/>
    <col min="2" max="2" width="8.8515625" style="166" customWidth="1"/>
    <col min="3" max="3" width="12.8515625" style="166" customWidth="1"/>
    <col min="4" max="4" width="8.421875" style="166" customWidth="1"/>
    <col min="5" max="6" width="9.8515625" style="166" customWidth="1"/>
    <col min="7" max="7" width="10.8515625" style="166" customWidth="1"/>
    <col min="8" max="8" width="12.8515625" style="166" customWidth="1"/>
    <col min="9" max="9" width="8.7109375" style="160" customWidth="1"/>
    <col min="10" max="10" width="8.8515625" style="160" customWidth="1"/>
    <col min="11" max="11" width="8.00390625" style="160" customWidth="1"/>
    <col min="12" max="12" width="10.00390625" style="160" customWidth="1"/>
    <col min="13" max="13" width="8.8515625" style="160" customWidth="1"/>
    <col min="14" max="16" width="8.140625" style="160" customWidth="1"/>
    <col min="17" max="17" width="8.8515625" style="160" customWidth="1"/>
    <col min="18" max="18" width="8.00390625" style="160" customWidth="1"/>
    <col min="19" max="19" width="8.28125" style="160" customWidth="1"/>
    <col min="20" max="20" width="8.7109375" style="160" customWidth="1"/>
    <col min="21" max="16384" width="9.140625" style="160" customWidth="1"/>
  </cols>
  <sheetData>
    <row r="1" spans="7:20" ht="15">
      <c r="G1" s="837"/>
      <c r="H1" s="837"/>
      <c r="I1" s="837"/>
      <c r="J1" s="166"/>
      <c r="K1" s="166"/>
      <c r="L1" s="166"/>
      <c r="M1" s="166"/>
      <c r="N1" s="166"/>
      <c r="O1" s="166"/>
      <c r="P1" s="166"/>
      <c r="Q1" s="166"/>
      <c r="R1" s="166"/>
      <c r="S1" s="838" t="s">
        <v>728</v>
      </c>
      <c r="T1" s="838"/>
    </row>
    <row r="2" spans="1:20" ht="15">
      <c r="A2" s="839" t="s">
        <v>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</row>
    <row r="3" spans="1:20" ht="18">
      <c r="A3" s="840" t="s">
        <v>841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</row>
    <row r="4" spans="1:20" ht="12.75" customHeight="1">
      <c r="A4" s="841" t="s">
        <v>913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166"/>
      <c r="T4" s="166"/>
    </row>
    <row r="5" spans="1:20" s="161" customFormat="1" ht="7.5" customHeight="1">
      <c r="A5" s="841"/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176"/>
      <c r="T5" s="176"/>
    </row>
    <row r="6" spans="1:20" ht="12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</row>
    <row r="7" spans="1:20" ht="12.75">
      <c r="A7" s="217" t="s">
        <v>643</v>
      </c>
      <c r="B7" s="217"/>
      <c r="H7" s="169"/>
      <c r="I7" s="166"/>
      <c r="J7" s="166"/>
      <c r="K7" s="166"/>
      <c r="L7" s="843"/>
      <c r="M7" s="843"/>
      <c r="N7" s="843"/>
      <c r="O7" s="843"/>
      <c r="P7" s="843"/>
      <c r="Q7" s="843"/>
      <c r="R7" s="843"/>
      <c r="S7" s="843"/>
      <c r="T7" s="843"/>
    </row>
    <row r="8" spans="1:20" ht="30.75" customHeight="1">
      <c r="A8" s="677" t="s">
        <v>2</v>
      </c>
      <c r="B8" s="677" t="s">
        <v>3</v>
      </c>
      <c r="C8" s="698" t="s">
        <v>532</v>
      </c>
      <c r="D8" s="699"/>
      <c r="E8" s="699"/>
      <c r="F8" s="699"/>
      <c r="G8" s="847"/>
      <c r="H8" s="845" t="s">
        <v>87</v>
      </c>
      <c r="I8" s="698" t="s">
        <v>88</v>
      </c>
      <c r="J8" s="699"/>
      <c r="K8" s="699"/>
      <c r="L8" s="847"/>
      <c r="M8" s="698" t="s">
        <v>96</v>
      </c>
      <c r="N8" s="699"/>
      <c r="O8" s="699"/>
      <c r="P8" s="847"/>
      <c r="Q8" s="845" t="s">
        <v>200</v>
      </c>
      <c r="R8" s="969"/>
      <c r="S8" s="970"/>
      <c r="T8" s="677" t="s">
        <v>478</v>
      </c>
    </row>
    <row r="9" spans="1:20" ht="53.25" customHeight="1">
      <c r="A9" s="677"/>
      <c r="B9" s="677"/>
      <c r="C9" s="223" t="s">
        <v>5</v>
      </c>
      <c r="D9" s="223" t="s">
        <v>673</v>
      </c>
      <c r="E9" s="223" t="s">
        <v>674</v>
      </c>
      <c r="F9" s="237" t="s">
        <v>105</v>
      </c>
      <c r="G9" s="237" t="s">
        <v>250</v>
      </c>
      <c r="H9" s="846"/>
      <c r="I9" s="223" t="s">
        <v>201</v>
      </c>
      <c r="J9" s="223" t="s">
        <v>121</v>
      </c>
      <c r="K9" s="223" t="s">
        <v>122</v>
      </c>
      <c r="L9" s="223" t="s">
        <v>477</v>
      </c>
      <c r="M9" s="223" t="s">
        <v>148</v>
      </c>
      <c r="N9" s="223" t="s">
        <v>150</v>
      </c>
      <c r="O9" s="223" t="s">
        <v>152</v>
      </c>
      <c r="P9" s="223" t="s">
        <v>476</v>
      </c>
      <c r="Q9" s="223" t="s">
        <v>171</v>
      </c>
      <c r="R9" s="237" t="s">
        <v>157</v>
      </c>
      <c r="S9" s="238" t="s">
        <v>19</v>
      </c>
      <c r="T9" s="677"/>
    </row>
    <row r="10" spans="1:20" s="162" customFormat="1" ht="12.75">
      <c r="A10" s="170">
        <v>1</v>
      </c>
      <c r="B10" s="170">
        <v>2</v>
      </c>
      <c r="C10" s="170">
        <v>3</v>
      </c>
      <c r="D10" s="170">
        <v>4</v>
      </c>
      <c r="E10" s="170">
        <v>5</v>
      </c>
      <c r="F10" s="170">
        <v>6</v>
      </c>
      <c r="G10" s="170">
        <v>7</v>
      </c>
      <c r="H10" s="170">
        <v>8</v>
      </c>
      <c r="I10" s="170">
        <v>9</v>
      </c>
      <c r="J10" s="170">
        <v>10</v>
      </c>
      <c r="K10" s="170">
        <v>11</v>
      </c>
      <c r="L10" s="170">
        <v>12</v>
      </c>
      <c r="M10" s="170">
        <v>13</v>
      </c>
      <c r="N10" s="170">
        <v>14</v>
      </c>
      <c r="O10" s="170">
        <v>15</v>
      </c>
      <c r="P10" s="170">
        <v>16</v>
      </c>
      <c r="Q10" s="170">
        <v>17</v>
      </c>
      <c r="R10" s="170">
        <v>18</v>
      </c>
      <c r="S10" s="170">
        <v>19</v>
      </c>
      <c r="T10" s="170">
        <v>20</v>
      </c>
    </row>
    <row r="11" spans="1:20" ht="43.5" customHeight="1">
      <c r="A11" s="219">
        <v>1</v>
      </c>
      <c r="B11" s="219" t="s">
        <v>632</v>
      </c>
      <c r="C11" s="508">
        <v>9920.52232142857</v>
      </c>
      <c r="D11" s="508">
        <v>0</v>
      </c>
      <c r="E11" s="508">
        <v>58.575892857142854</v>
      </c>
      <c r="F11" s="509">
        <v>0</v>
      </c>
      <c r="G11" s="512">
        <f>SUM(C11:F11)</f>
        <v>9979.098214285714</v>
      </c>
      <c r="H11" s="338">
        <v>228</v>
      </c>
      <c r="I11" s="334"/>
      <c r="J11" s="334">
        <f>G11*H11*0.00015</f>
        <v>341.2851589285714</v>
      </c>
      <c r="K11" s="292">
        <v>0</v>
      </c>
      <c r="L11" s="292">
        <v>0</v>
      </c>
      <c r="M11" s="334">
        <f aca="true" t="shared" si="0" ref="M11:N14">I11*0.03</f>
        <v>0</v>
      </c>
      <c r="N11" s="292">
        <f t="shared" si="0"/>
        <v>10.23855476785714</v>
      </c>
      <c r="O11" s="292">
        <v>0</v>
      </c>
      <c r="P11" s="292">
        <v>0</v>
      </c>
      <c r="Q11" s="334">
        <f>G11*H11*0.0000586</f>
        <v>133.32873542142858</v>
      </c>
      <c r="R11" s="334">
        <f>G11*H11*0.0000065</f>
        <v>14.789023553571427</v>
      </c>
      <c r="S11" s="334">
        <f>SUM(Q11:R11)</f>
        <v>148.11775897500002</v>
      </c>
      <c r="T11" s="335">
        <f>J11*0.0182</f>
        <v>6.2113898925</v>
      </c>
    </row>
    <row r="12" spans="1:20" ht="42" customHeight="1">
      <c r="A12" s="219">
        <v>2</v>
      </c>
      <c r="B12" s="219" t="s">
        <v>633</v>
      </c>
      <c r="C12" s="508">
        <v>6149.700892857143</v>
      </c>
      <c r="D12" s="508">
        <v>47.111607142857146</v>
      </c>
      <c r="E12" s="508">
        <v>21.941964285714285</v>
      </c>
      <c r="F12" s="509">
        <v>0</v>
      </c>
      <c r="G12" s="512">
        <f>SUM(C12:F12)</f>
        <v>6218.754464285715</v>
      </c>
      <c r="H12" s="338">
        <v>228</v>
      </c>
      <c r="I12" s="334"/>
      <c r="J12" s="334">
        <f>G12*H12*0.00015</f>
        <v>212.68140267857143</v>
      </c>
      <c r="K12" s="292">
        <v>0</v>
      </c>
      <c r="L12" s="292">
        <v>0</v>
      </c>
      <c r="M12" s="334">
        <f t="shared" si="0"/>
        <v>0</v>
      </c>
      <c r="N12" s="334">
        <f t="shared" si="0"/>
        <v>6.380442080357143</v>
      </c>
      <c r="O12" s="292">
        <v>0</v>
      </c>
      <c r="P12" s="292">
        <v>0</v>
      </c>
      <c r="Q12" s="334">
        <f>G12*H12*0.0000586</f>
        <v>83.08753464642858</v>
      </c>
      <c r="R12" s="334">
        <f>G12*H12*0.0000065</f>
        <v>9.216194116071428</v>
      </c>
      <c r="S12" s="334">
        <f>SUM(Q12:R12)</f>
        <v>92.30372876250001</v>
      </c>
      <c r="T12" s="335">
        <f>J12*0.0182</f>
        <v>3.8708015287500004</v>
      </c>
    </row>
    <row r="13" spans="1:20" ht="45.75" customHeight="1">
      <c r="A13" s="219">
        <v>3</v>
      </c>
      <c r="B13" s="219" t="s">
        <v>634</v>
      </c>
      <c r="C13" s="508">
        <v>1593.3348214285713</v>
      </c>
      <c r="D13" s="508">
        <v>0</v>
      </c>
      <c r="E13" s="508">
        <v>0</v>
      </c>
      <c r="F13" s="509">
        <v>0</v>
      </c>
      <c r="G13" s="512">
        <f>SUM(C13:F13)</f>
        <v>1593.3348214285713</v>
      </c>
      <c r="H13" s="338">
        <v>228</v>
      </c>
      <c r="I13" s="334"/>
      <c r="J13" s="334">
        <f>G13*H13*0.00015</f>
        <v>54.49205089285714</v>
      </c>
      <c r="K13" s="292">
        <v>0</v>
      </c>
      <c r="L13" s="292">
        <v>0</v>
      </c>
      <c r="M13" s="334">
        <f t="shared" si="0"/>
        <v>0</v>
      </c>
      <c r="N13" s="334">
        <f t="shared" si="0"/>
        <v>1.634761526785714</v>
      </c>
      <c r="O13" s="292">
        <v>0</v>
      </c>
      <c r="P13" s="292">
        <v>0</v>
      </c>
      <c r="Q13" s="334">
        <f>G13*H13*0.0000586</f>
        <v>21.288227882142856</v>
      </c>
      <c r="R13" s="334">
        <f>G13*H13*0.0000065</f>
        <v>2.3613222053571428</v>
      </c>
      <c r="S13" s="334">
        <f>SUM(Q13:R13)</f>
        <v>23.6495500875</v>
      </c>
      <c r="T13" s="335">
        <f>J13*0.0182</f>
        <v>0.99175532625</v>
      </c>
    </row>
    <row r="14" spans="1:20" ht="35.25" customHeight="1">
      <c r="A14" s="219">
        <v>4</v>
      </c>
      <c r="B14" s="219" t="s">
        <v>635</v>
      </c>
      <c r="C14" s="508">
        <v>6425.674107142857</v>
      </c>
      <c r="D14" s="508">
        <v>0</v>
      </c>
      <c r="E14" s="508">
        <v>0</v>
      </c>
      <c r="F14" s="509">
        <v>0</v>
      </c>
      <c r="G14" s="512">
        <f>SUM(C14:F14)</f>
        <v>6425.674107142857</v>
      </c>
      <c r="H14" s="338">
        <v>228</v>
      </c>
      <c r="I14" s="334"/>
      <c r="J14" s="334">
        <f>G14*H14*0.00015</f>
        <v>219.7580544642857</v>
      </c>
      <c r="K14" s="292">
        <v>0</v>
      </c>
      <c r="L14" s="292">
        <v>0</v>
      </c>
      <c r="M14" s="334">
        <f t="shared" si="0"/>
        <v>0</v>
      </c>
      <c r="N14" s="334">
        <f t="shared" si="0"/>
        <v>6.59274163392857</v>
      </c>
      <c r="O14" s="292">
        <v>0</v>
      </c>
      <c r="P14" s="292">
        <v>0</v>
      </c>
      <c r="Q14" s="334">
        <f>G14*H14*0.0000586</f>
        <v>85.85214661071429</v>
      </c>
      <c r="R14" s="334">
        <f>G14*H14*0.0000065</f>
        <v>9.522849026785714</v>
      </c>
      <c r="S14" s="334">
        <f>SUM(Q14:R14)</f>
        <v>95.3749956375</v>
      </c>
      <c r="T14" s="335">
        <f>J14*0.0182</f>
        <v>3.99959659125</v>
      </c>
    </row>
    <row r="15" spans="1:20" ht="45" customHeight="1">
      <c r="A15" s="659" t="s">
        <v>625</v>
      </c>
      <c r="B15" s="973"/>
      <c r="C15" s="508">
        <f>SUM(C11:C14)</f>
        <v>24089.232142857145</v>
      </c>
      <c r="D15" s="508">
        <f>SUM(D11:D14)</f>
        <v>47.111607142857146</v>
      </c>
      <c r="E15" s="508">
        <f>SUM(E11:E14)</f>
        <v>80.51785714285714</v>
      </c>
      <c r="F15" s="511">
        <f>SUM(F11:F14)</f>
        <v>0</v>
      </c>
      <c r="G15" s="512">
        <f>SUM(C15:F15)</f>
        <v>24216.861607142862</v>
      </c>
      <c r="H15" s="338">
        <v>228</v>
      </c>
      <c r="I15" s="293"/>
      <c r="J15" s="293">
        <f>G15*H15*0.00015</f>
        <v>828.2166669642859</v>
      </c>
      <c r="K15" s="294">
        <f aca="true" t="shared" si="1" ref="K15:T15">SUM(K11:K14)</f>
        <v>0</v>
      </c>
      <c r="L15" s="294">
        <f t="shared" si="1"/>
        <v>0</v>
      </c>
      <c r="M15" s="293">
        <f t="shared" si="1"/>
        <v>0</v>
      </c>
      <c r="N15" s="293">
        <f t="shared" si="1"/>
        <v>24.846500008928565</v>
      </c>
      <c r="O15" s="294">
        <f t="shared" si="1"/>
        <v>0</v>
      </c>
      <c r="P15" s="294">
        <f t="shared" si="1"/>
        <v>0</v>
      </c>
      <c r="Q15" s="293">
        <f t="shared" si="1"/>
        <v>323.5566445607143</v>
      </c>
      <c r="R15" s="293">
        <f t="shared" si="1"/>
        <v>35.88938890178571</v>
      </c>
      <c r="S15" s="293">
        <f t="shared" si="1"/>
        <v>359.44603346250005</v>
      </c>
      <c r="T15" s="337">
        <f t="shared" si="1"/>
        <v>15.073543338750001</v>
      </c>
    </row>
    <row r="16" spans="9:20" ht="12">
      <c r="I16" s="166"/>
      <c r="J16" s="166">
        <v>817.27</v>
      </c>
      <c r="K16" s="166"/>
      <c r="L16" s="166"/>
      <c r="M16" s="166"/>
      <c r="N16" s="166">
        <v>24.53</v>
      </c>
      <c r="O16" s="166"/>
      <c r="P16" s="166"/>
      <c r="Q16" s="166">
        <v>319.28</v>
      </c>
      <c r="R16" s="166">
        <v>35.42</v>
      </c>
      <c r="S16" s="166">
        <v>354.7</v>
      </c>
      <c r="T16" s="166">
        <v>14.87</v>
      </c>
    </row>
    <row r="17" spans="1:20" ht="12.75">
      <c r="A17" s="174" t="s">
        <v>8</v>
      </c>
      <c r="B17" s="175"/>
      <c r="C17" s="175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r="18" spans="1:20" ht="12.75">
      <c r="A18" s="175" t="s">
        <v>9</v>
      </c>
      <c r="B18" s="175"/>
      <c r="C18" s="175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0" ht="12.75">
      <c r="A19" s="175" t="s">
        <v>10</v>
      </c>
      <c r="B19" s="175"/>
      <c r="C19" s="175"/>
      <c r="I19" s="166"/>
      <c r="J19" s="166"/>
      <c r="K19" s="166"/>
      <c r="L19" s="166"/>
      <c r="M19" s="166"/>
      <c r="N19" s="166"/>
      <c r="O19" s="166"/>
      <c r="P19" s="276"/>
      <c r="Q19" s="166"/>
      <c r="R19" s="166"/>
      <c r="S19" s="166"/>
      <c r="T19" s="166"/>
    </row>
    <row r="20" spans="1:20" ht="12.75">
      <c r="A20" s="844" t="s">
        <v>235</v>
      </c>
      <c r="B20" s="844"/>
      <c r="C20" s="844"/>
      <c r="D20" s="844"/>
      <c r="I20" s="166"/>
      <c r="J20" s="166"/>
      <c r="K20" s="166"/>
      <c r="L20" s="166"/>
      <c r="M20" s="178"/>
      <c r="N20" s="178"/>
      <c r="O20" s="178"/>
      <c r="P20" s="178"/>
      <c r="Q20" s="178"/>
      <c r="R20" s="178"/>
      <c r="S20" s="166"/>
      <c r="T20" s="166"/>
    </row>
    <row r="21" spans="1:20" ht="12.75">
      <c r="A21" s="174" t="s">
        <v>119</v>
      </c>
      <c r="B21" s="175" t="s">
        <v>202</v>
      </c>
      <c r="C21" s="175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0" ht="12.75">
      <c r="A22" s="174" t="s">
        <v>149</v>
      </c>
      <c r="B22" s="844" t="s">
        <v>686</v>
      </c>
      <c r="C22" s="844"/>
      <c r="D22" s="844"/>
      <c r="E22" s="844"/>
      <c r="F22" s="174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ht="12.75">
      <c r="A23" s="175" t="s">
        <v>151</v>
      </c>
      <c r="B23" s="844" t="s">
        <v>687</v>
      </c>
      <c r="C23" s="844"/>
      <c r="D23" s="844"/>
      <c r="E23" s="844"/>
      <c r="F23" s="174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0" ht="12.75">
      <c r="A24" s="175" t="s">
        <v>172</v>
      </c>
      <c r="B24" s="844" t="s">
        <v>689</v>
      </c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844"/>
      <c r="S24" s="166"/>
      <c r="T24" s="166"/>
    </row>
    <row r="25" spans="1:20" ht="12.75">
      <c r="A25" s="175" t="s">
        <v>123</v>
      </c>
      <c r="B25" s="175" t="s">
        <v>251</v>
      </c>
      <c r="C25" s="175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ht="12.75">
      <c r="A26" s="175" t="s">
        <v>124</v>
      </c>
      <c r="B26" s="175" t="s">
        <v>253</v>
      </c>
      <c r="C26" s="175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1:20" ht="12.75">
      <c r="A27" s="175"/>
      <c r="B27" s="175" t="s">
        <v>254</v>
      </c>
      <c r="C27" s="17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ht="12.75">
      <c r="A28" s="175"/>
      <c r="B28" s="175"/>
      <c r="C28" s="17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ht="12.75">
      <c r="A29" s="175"/>
      <c r="B29" s="175"/>
      <c r="C29" s="175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ht="12.75">
      <c r="A30" s="175"/>
      <c r="B30" s="175"/>
      <c r="C30" s="175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ht="12.75">
      <c r="A31" s="175"/>
      <c r="B31" s="175"/>
      <c r="C31" s="175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12.75">
      <c r="A32" s="175"/>
      <c r="B32" s="175"/>
      <c r="C32" s="175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ht="12.75">
      <c r="A33" s="175"/>
      <c r="B33" s="175"/>
      <c r="C33" s="175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</row>
    <row r="34" spans="1:20" ht="12.75">
      <c r="A34" s="175"/>
      <c r="B34" s="175"/>
      <c r="C34" s="175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20" ht="12.75">
      <c r="A35" s="175"/>
      <c r="B35" s="175"/>
      <c r="C35" s="175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ht="12.75">
      <c r="A36" s="175"/>
      <c r="B36" s="175"/>
      <c r="C36" s="175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20" ht="12.75">
      <c r="A37" s="175" t="s">
        <v>12</v>
      </c>
      <c r="H37" s="175"/>
      <c r="I37" s="166"/>
      <c r="J37" s="175"/>
      <c r="K37" s="175"/>
      <c r="L37" s="175"/>
      <c r="M37" s="175"/>
      <c r="N37" s="175"/>
      <c r="O37" s="175"/>
      <c r="P37" s="175"/>
      <c r="Q37" s="175"/>
      <c r="R37" s="175"/>
      <c r="S37" s="972" t="s">
        <v>13</v>
      </c>
      <c r="T37" s="972"/>
    </row>
    <row r="38" spans="9:20" ht="12.75">
      <c r="I38" s="175"/>
      <c r="J38" s="843" t="s">
        <v>14</v>
      </c>
      <c r="K38" s="843"/>
      <c r="L38" s="843"/>
      <c r="M38" s="843"/>
      <c r="N38" s="843"/>
      <c r="O38" s="843"/>
      <c r="P38" s="843"/>
      <c r="Q38" s="843"/>
      <c r="R38" s="843"/>
      <c r="S38" s="843"/>
      <c r="T38" s="843"/>
    </row>
    <row r="39" spans="9:20" ht="12.75">
      <c r="I39" s="843" t="s">
        <v>89</v>
      </c>
      <c r="J39" s="843"/>
      <c r="K39" s="843"/>
      <c r="L39" s="843"/>
      <c r="M39" s="843"/>
      <c r="N39" s="843"/>
      <c r="O39" s="843"/>
      <c r="P39" s="843"/>
      <c r="Q39" s="843"/>
      <c r="R39" s="843"/>
      <c r="S39" s="843"/>
      <c r="T39" s="843"/>
    </row>
    <row r="40" spans="1:20" ht="12.75" customHeight="1">
      <c r="A40" s="175"/>
      <c r="B40" s="175"/>
      <c r="I40" s="166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 t="s">
        <v>86</v>
      </c>
    </row>
    <row r="41" spans="9:20" ht="12.75" customHeight="1"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ht="12">
      <c r="A42" s="971"/>
      <c r="B42" s="971"/>
      <c r="C42" s="971"/>
      <c r="D42" s="971"/>
      <c r="E42" s="971"/>
      <c r="F42" s="971"/>
      <c r="G42" s="971"/>
      <c r="H42" s="971"/>
      <c r="I42" s="971"/>
      <c r="J42" s="971"/>
      <c r="K42" s="971"/>
      <c r="L42" s="971"/>
      <c r="M42" s="971"/>
      <c r="N42" s="971"/>
      <c r="O42" s="971"/>
      <c r="P42" s="971"/>
      <c r="Q42" s="971"/>
      <c r="R42" s="971"/>
      <c r="S42" s="971"/>
      <c r="T42" s="971"/>
    </row>
  </sheetData>
  <sheetProtection/>
  <mergeCells count="24">
    <mergeCell ref="G1:I1"/>
    <mergeCell ref="S1:T1"/>
    <mergeCell ref="A2:T2"/>
    <mergeCell ref="A3:T3"/>
    <mergeCell ref="A4:R5"/>
    <mergeCell ref="A6:T6"/>
    <mergeCell ref="I8:L8"/>
    <mergeCell ref="M8:P8"/>
    <mergeCell ref="Q8:S8"/>
    <mergeCell ref="T8:T9"/>
    <mergeCell ref="B23:E23"/>
    <mergeCell ref="B22:E22"/>
    <mergeCell ref="A20:D20"/>
    <mergeCell ref="A15:B15"/>
    <mergeCell ref="I39:T39"/>
    <mergeCell ref="A42:T42"/>
    <mergeCell ref="S37:T37"/>
    <mergeCell ref="J38:T38"/>
    <mergeCell ref="B24:R24"/>
    <mergeCell ref="L7:T7"/>
    <mergeCell ref="A8:A9"/>
    <mergeCell ref="B8:B9"/>
    <mergeCell ref="C8:G8"/>
    <mergeCell ref="H8:H9"/>
  </mergeCells>
  <printOptions horizontalCentered="1"/>
  <pageMargins left="0.708661417322835" right="0.708661417322835" top="1.02362204724409" bottom="0.196875" header="0.31496062992126" footer="0.31496062992126"/>
  <pageSetup fitToHeight="1" fitToWidth="1" horizontalDpi="600" verticalDpi="600" orientation="landscape" paperSize="9" scale="6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3.57421875" style="0" customWidth="1"/>
    <col min="2" max="2" width="11.8515625" style="0" customWidth="1"/>
    <col min="3" max="3" width="10.140625" style="0" customWidth="1"/>
    <col min="4" max="4" width="11.28125" style="0" customWidth="1"/>
    <col min="5" max="5" width="8.57421875" style="0" customWidth="1"/>
    <col min="6" max="6" width="8.28125" style="0" customWidth="1"/>
  </cols>
  <sheetData>
    <row r="2" ht="15">
      <c r="B2" s="527" t="s">
        <v>963</v>
      </c>
    </row>
    <row r="3" spans="1:6" ht="15">
      <c r="A3" s="528"/>
      <c r="B3" s="529" t="s">
        <v>955</v>
      </c>
      <c r="C3" s="529" t="s">
        <v>956</v>
      </c>
      <c r="D3" s="529" t="s">
        <v>961</v>
      </c>
      <c r="E3" s="530" t="s">
        <v>964</v>
      </c>
      <c r="F3" s="12"/>
    </row>
    <row r="4" spans="1:6" ht="15">
      <c r="A4" s="529" t="s">
        <v>957</v>
      </c>
      <c r="B4" s="370">
        <v>20.23</v>
      </c>
      <c r="C4" s="370">
        <v>24.85</v>
      </c>
      <c r="D4" s="531">
        <f aca="true" t="shared" si="0" ref="D4:D10">SUM(B4:C4)</f>
        <v>45.08</v>
      </c>
      <c r="E4" s="528"/>
      <c r="F4" s="34"/>
    </row>
    <row r="5" spans="1:6" ht="15">
      <c r="A5" s="529" t="s">
        <v>958</v>
      </c>
      <c r="B5" s="370">
        <v>263.64</v>
      </c>
      <c r="C5" s="370">
        <v>323.56</v>
      </c>
      <c r="D5" s="531">
        <f t="shared" si="0"/>
        <v>587.2</v>
      </c>
      <c r="E5" s="528">
        <f>29.67+35.89</f>
        <v>65.56</v>
      </c>
      <c r="F5" s="34"/>
    </row>
    <row r="6" spans="1:6" ht="15">
      <c r="A6" s="529" t="s">
        <v>959</v>
      </c>
      <c r="B6" s="370">
        <v>107.46</v>
      </c>
      <c r="C6" s="370">
        <v>62.73</v>
      </c>
      <c r="D6" s="531">
        <f t="shared" si="0"/>
        <v>170.19</v>
      </c>
      <c r="E6" s="528">
        <v>18.91</v>
      </c>
      <c r="F6" s="34"/>
    </row>
    <row r="7" spans="1:6" ht="15">
      <c r="A7" s="529" t="s">
        <v>960</v>
      </c>
      <c r="B7" s="370">
        <v>12.27</v>
      </c>
      <c r="C7" s="370">
        <v>15.07</v>
      </c>
      <c r="D7" s="531">
        <f t="shared" si="0"/>
        <v>27.34</v>
      </c>
      <c r="E7" s="528"/>
      <c r="F7" s="34"/>
    </row>
    <row r="8" spans="1:6" ht="15">
      <c r="A8" s="530" t="s">
        <v>961</v>
      </c>
      <c r="B8" s="531">
        <f>SUM(B4:B7)</f>
        <v>403.59999999999997</v>
      </c>
      <c r="C8" s="531">
        <f>SUM(C4:C7)</f>
        <v>426.21000000000004</v>
      </c>
      <c r="D8" s="531">
        <f t="shared" si="0"/>
        <v>829.81</v>
      </c>
      <c r="E8" s="528"/>
      <c r="F8" s="34"/>
    </row>
    <row r="9" spans="1:6" ht="14.25" customHeight="1">
      <c r="A9" s="211" t="s">
        <v>139</v>
      </c>
      <c r="B9" s="528">
        <f>B8*2.7/100</f>
        <v>10.8972</v>
      </c>
      <c r="C9" s="528">
        <f>C8*2.7/100</f>
        <v>11.507670000000003</v>
      </c>
      <c r="D9" s="532">
        <f t="shared" si="0"/>
        <v>22.404870000000003</v>
      </c>
      <c r="E9" s="528"/>
      <c r="F9" s="34"/>
    </row>
    <row r="10" spans="1:6" ht="15">
      <c r="A10" s="530" t="s">
        <v>962</v>
      </c>
      <c r="B10" s="529">
        <f>SUM(B8:B9)</f>
        <v>414.49719999999996</v>
      </c>
      <c r="C10" s="529">
        <f>SUM(C8:C9)</f>
        <v>437.71767000000006</v>
      </c>
      <c r="D10" s="529">
        <f t="shared" si="0"/>
        <v>852.21487</v>
      </c>
      <c r="E10" s="528">
        <f>SUM(E5:E9)</f>
        <v>84.47</v>
      </c>
      <c r="F10" s="34">
        <f>SUM(D10:E10)</f>
        <v>936.68487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zoomScalePageLayoutView="0" workbookViewId="0" topLeftCell="A3">
      <selection activeCell="M12" sqref="M12:M16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585"/>
      <c r="E1" s="585"/>
      <c r="F1" s="585"/>
      <c r="G1" s="585"/>
      <c r="H1" s="585"/>
      <c r="I1" s="585"/>
      <c r="L1" s="664" t="s">
        <v>91</v>
      </c>
      <c r="M1" s="664"/>
    </row>
    <row r="2" spans="1:13" ht="1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</row>
    <row r="3" spans="1:13" ht="19.5">
      <c r="A3" s="583" t="s">
        <v>841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</row>
    <row r="4" ht="11.25" customHeight="1"/>
    <row r="5" spans="1:13" ht="15">
      <c r="A5" s="582" t="s">
        <v>865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</row>
    <row r="7" spans="1:14" ht="12.75">
      <c r="A7" s="579" t="s">
        <v>643</v>
      </c>
      <c r="B7" s="579"/>
      <c r="K7" s="52"/>
      <c r="L7" s="661" t="s">
        <v>843</v>
      </c>
      <c r="M7" s="661"/>
      <c r="N7" s="661"/>
    </row>
    <row r="8" spans="1:14" ht="12.75">
      <c r="A8" s="24"/>
      <c r="B8" s="24"/>
      <c r="K8" s="69"/>
      <c r="L8" s="82"/>
      <c r="M8" s="87"/>
      <c r="N8" s="82"/>
    </row>
    <row r="9" spans="1:14" ht="15.75" customHeight="1">
      <c r="A9" s="662" t="s">
        <v>2</v>
      </c>
      <c r="B9" s="662" t="s">
        <v>3</v>
      </c>
      <c r="C9" s="552" t="s">
        <v>4</v>
      </c>
      <c r="D9" s="552"/>
      <c r="E9" s="552"/>
      <c r="F9" s="574"/>
      <c r="G9" s="657"/>
      <c r="H9" s="589" t="s">
        <v>107</v>
      </c>
      <c r="I9" s="589"/>
      <c r="J9" s="589"/>
      <c r="K9" s="589"/>
      <c r="L9" s="589"/>
      <c r="M9" s="662" t="s">
        <v>144</v>
      </c>
      <c r="N9" s="553" t="s">
        <v>145</v>
      </c>
    </row>
    <row r="10" spans="1:14" ht="39">
      <c r="A10" s="663"/>
      <c r="B10" s="663"/>
      <c r="C10" s="6" t="s">
        <v>98</v>
      </c>
      <c r="D10" s="6" t="s">
        <v>636</v>
      </c>
      <c r="E10" s="6" t="s">
        <v>637</v>
      </c>
      <c r="F10" s="8" t="s">
        <v>105</v>
      </c>
      <c r="G10" s="7" t="s">
        <v>382</v>
      </c>
      <c r="H10" s="6" t="s">
        <v>98</v>
      </c>
      <c r="I10" s="6" t="s">
        <v>636</v>
      </c>
      <c r="J10" s="6" t="s">
        <v>637</v>
      </c>
      <c r="K10" s="8" t="s">
        <v>105</v>
      </c>
      <c r="L10" s="8" t="s">
        <v>383</v>
      </c>
      <c r="M10" s="663"/>
      <c r="N10" s="553"/>
    </row>
    <row r="11" spans="1:14" s="13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27" customHeight="1">
      <c r="A12" s="313">
        <v>1</v>
      </c>
      <c r="B12" s="204" t="s">
        <v>632</v>
      </c>
      <c r="C12" s="219">
        <v>106</v>
      </c>
      <c r="D12" s="219">
        <v>30</v>
      </c>
      <c r="E12" s="219">
        <v>5</v>
      </c>
      <c r="F12" s="341">
        <v>0</v>
      </c>
      <c r="G12" s="392">
        <f>SUM(C12:F12)</f>
        <v>141</v>
      </c>
      <c r="H12" s="219">
        <v>106</v>
      </c>
      <c r="I12" s="219">
        <v>30</v>
      </c>
      <c r="J12" s="219">
        <v>5</v>
      </c>
      <c r="K12" s="219">
        <v>0</v>
      </c>
      <c r="L12" s="219">
        <f>SUM(H12:K12)</f>
        <v>141</v>
      </c>
      <c r="M12" s="313">
        <f>G12-L12</f>
        <v>0</v>
      </c>
      <c r="N12" s="203"/>
    </row>
    <row r="13" spans="1:14" ht="30" customHeight="1">
      <c r="A13" s="313">
        <v>2</v>
      </c>
      <c r="B13" s="204" t="s">
        <v>633</v>
      </c>
      <c r="C13" s="219">
        <v>131</v>
      </c>
      <c r="D13" s="219">
        <v>13</v>
      </c>
      <c r="E13" s="219">
        <v>1</v>
      </c>
      <c r="F13" s="341">
        <v>0</v>
      </c>
      <c r="G13" s="392">
        <f>SUM(C13:F13)</f>
        <v>145</v>
      </c>
      <c r="H13" s="219">
        <v>131</v>
      </c>
      <c r="I13" s="219">
        <v>13</v>
      </c>
      <c r="J13" s="219">
        <v>1</v>
      </c>
      <c r="K13" s="219">
        <v>0</v>
      </c>
      <c r="L13" s="219">
        <f>SUM(H13:K13)</f>
        <v>145</v>
      </c>
      <c r="M13" s="313">
        <f>G13-L13</f>
        <v>0</v>
      </c>
      <c r="N13" s="203"/>
    </row>
    <row r="14" spans="1:14" ht="24.75" customHeight="1">
      <c r="A14" s="313">
        <v>3</v>
      </c>
      <c r="B14" s="204" t="s">
        <v>634</v>
      </c>
      <c r="C14" s="219">
        <v>44</v>
      </c>
      <c r="D14" s="219">
        <v>18</v>
      </c>
      <c r="E14" s="219">
        <v>0</v>
      </c>
      <c r="F14" s="341">
        <v>0</v>
      </c>
      <c r="G14" s="392">
        <f>SUM(C14:F14)</f>
        <v>62</v>
      </c>
      <c r="H14" s="219">
        <v>44</v>
      </c>
      <c r="I14" s="219">
        <v>18</v>
      </c>
      <c r="J14" s="219">
        <v>0</v>
      </c>
      <c r="K14" s="219">
        <v>0</v>
      </c>
      <c r="L14" s="219">
        <f>SUM(H14:K14)</f>
        <v>62</v>
      </c>
      <c r="M14" s="313">
        <f>G14-L14</f>
        <v>0</v>
      </c>
      <c r="N14" s="203"/>
    </row>
    <row r="15" spans="1:14" ht="31.5" customHeight="1">
      <c r="A15" s="313">
        <v>4</v>
      </c>
      <c r="B15" s="204" t="s">
        <v>635</v>
      </c>
      <c r="C15" s="219">
        <v>120</v>
      </c>
      <c r="D15" s="219">
        <v>26</v>
      </c>
      <c r="E15" s="219">
        <v>4</v>
      </c>
      <c r="F15" s="341">
        <v>0</v>
      </c>
      <c r="G15" s="392">
        <f>SUM(C15:F15)</f>
        <v>150</v>
      </c>
      <c r="H15" s="219">
        <v>120</v>
      </c>
      <c r="I15" s="219">
        <v>26</v>
      </c>
      <c r="J15" s="219">
        <v>4</v>
      </c>
      <c r="K15" s="219">
        <v>0</v>
      </c>
      <c r="L15" s="219">
        <f>SUM(H15:K15)</f>
        <v>150</v>
      </c>
      <c r="M15" s="313">
        <f>G15-L15</f>
        <v>0</v>
      </c>
      <c r="N15" s="203"/>
    </row>
    <row r="16" spans="1:14" ht="30" customHeight="1">
      <c r="A16" s="659" t="s">
        <v>625</v>
      </c>
      <c r="B16" s="660"/>
      <c r="C16" s="204">
        <f>SUM(C12:C15)</f>
        <v>401</v>
      </c>
      <c r="D16" s="204">
        <f>SUM(D12:D15)</f>
        <v>87</v>
      </c>
      <c r="E16" s="204">
        <f>SUM(E12:E15)</f>
        <v>10</v>
      </c>
      <c r="F16" s="383">
        <f>SUM(F12:F15)</f>
        <v>0</v>
      </c>
      <c r="G16" s="393">
        <f>SUM(C16:F16)</f>
        <v>498</v>
      </c>
      <c r="H16" s="204">
        <f>SUM(H12:H15)</f>
        <v>401</v>
      </c>
      <c r="I16" s="204">
        <f>SUM(I12:I15)</f>
        <v>87</v>
      </c>
      <c r="J16" s="204">
        <f>SUM(J12:J15)</f>
        <v>10</v>
      </c>
      <c r="K16" s="204">
        <v>0</v>
      </c>
      <c r="L16" s="204">
        <f>SUM(H16:K16)</f>
        <v>498</v>
      </c>
      <c r="M16" s="204">
        <f>G16-L16</f>
        <v>0</v>
      </c>
      <c r="N16" s="106"/>
    </row>
    <row r="17" ht="12.75">
      <c r="A17" s="3"/>
    </row>
    <row r="18" ht="12">
      <c r="A18" s="11" t="s">
        <v>8</v>
      </c>
    </row>
    <row r="19" ht="12">
      <c r="A19" t="s">
        <v>9</v>
      </c>
    </row>
    <row r="20" spans="1:12" ht="12.75">
      <c r="A20" t="s">
        <v>10</v>
      </c>
      <c r="J20" s="3" t="s">
        <v>11</v>
      </c>
      <c r="K20" s="3"/>
      <c r="L20" s="3" t="s">
        <v>11</v>
      </c>
    </row>
    <row r="21" spans="1:12" ht="12.75">
      <c r="A21" s="2" t="s">
        <v>465</v>
      </c>
      <c r="J21" s="3"/>
      <c r="K21" s="3"/>
      <c r="L21" s="3"/>
    </row>
    <row r="22" ht="12">
      <c r="C22" s="2" t="s">
        <v>466</v>
      </c>
    </row>
    <row r="23" ht="12">
      <c r="C23" s="2"/>
    </row>
    <row r="24" ht="31.5" customHeight="1">
      <c r="C24" s="2"/>
    </row>
    <row r="25" ht="12">
      <c r="C25" s="2"/>
    </row>
    <row r="26" ht="12">
      <c r="C26" s="2"/>
    </row>
    <row r="27" ht="12">
      <c r="C27" s="2"/>
    </row>
    <row r="28" spans="1:14" ht="15">
      <c r="A28" s="12" t="s">
        <v>12</v>
      </c>
      <c r="B28" s="12"/>
      <c r="C28" s="12"/>
      <c r="D28" s="12"/>
      <c r="E28" s="12"/>
      <c r="F28" s="12"/>
      <c r="G28" s="12"/>
      <c r="J28" s="13"/>
      <c r="K28" s="655"/>
      <c r="L28" s="656"/>
      <c r="M28" s="658" t="s">
        <v>13</v>
      </c>
      <c r="N28" s="658"/>
    </row>
    <row r="29" spans="1:14" ht="15">
      <c r="A29" s="655" t="s">
        <v>14</v>
      </c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</row>
    <row r="30" spans="1:14" ht="15">
      <c r="A30" s="655" t="s">
        <v>15</v>
      </c>
      <c r="B30" s="655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</row>
    <row r="31" spans="11:14" ht="12.75">
      <c r="K31" s="579" t="s">
        <v>86</v>
      </c>
      <c r="L31" s="579"/>
      <c r="M31" s="579"/>
      <c r="N31" s="579"/>
    </row>
    <row r="32" spans="1:13" ht="12">
      <c r="A32" s="654"/>
      <c r="B32" s="654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</row>
    <row r="36" ht="15" customHeight="1">
      <c r="O36" s="191"/>
    </row>
    <row r="37" ht="15" customHeight="1"/>
  </sheetData>
  <sheetProtection/>
  <mergeCells count="20"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A32:M32"/>
    <mergeCell ref="K28:L28"/>
    <mergeCell ref="A30:N30"/>
    <mergeCell ref="A29:N29"/>
    <mergeCell ref="H9:L9"/>
    <mergeCell ref="C9:G9"/>
    <mergeCell ref="K31:N31"/>
    <mergeCell ref="N9:N10"/>
    <mergeCell ref="M28:N28"/>
    <mergeCell ref="A16:B16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view="pageBreakPreview" zoomScale="90" zoomScaleSheetLayoutView="90" zoomScalePageLayoutView="0" workbookViewId="0" topLeftCell="A4">
      <selection activeCell="G17" sqref="G17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585"/>
      <c r="E1" s="585"/>
      <c r="F1" s="585"/>
      <c r="G1" s="585"/>
      <c r="H1" s="585"/>
      <c r="I1" s="585"/>
      <c r="J1" s="585"/>
      <c r="K1" s="3"/>
      <c r="M1" s="70" t="s">
        <v>92</v>
      </c>
    </row>
    <row r="2" spans="1:14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</row>
    <row r="3" spans="1:14" ht="19.5">
      <c r="A3" s="583" t="s">
        <v>841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</row>
    <row r="4" ht="11.25" customHeight="1"/>
    <row r="5" spans="1:14" ht="15">
      <c r="A5" s="584" t="s">
        <v>866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</row>
    <row r="7" spans="1:14" ht="12.75">
      <c r="A7" s="579" t="s">
        <v>643</v>
      </c>
      <c r="B7" s="579"/>
      <c r="L7" s="653" t="s">
        <v>843</v>
      </c>
      <c r="M7" s="653"/>
      <c r="N7" s="653"/>
    </row>
    <row r="8" spans="1:14" ht="15.75" customHeight="1">
      <c r="A8" s="662" t="s">
        <v>2</v>
      </c>
      <c r="B8" s="662" t="s">
        <v>3</v>
      </c>
      <c r="C8" s="552" t="s">
        <v>4</v>
      </c>
      <c r="D8" s="552"/>
      <c r="E8" s="552"/>
      <c r="F8" s="552"/>
      <c r="G8" s="552"/>
      <c r="H8" s="552" t="s">
        <v>107</v>
      </c>
      <c r="I8" s="552"/>
      <c r="J8" s="552"/>
      <c r="K8" s="552"/>
      <c r="L8" s="552"/>
      <c r="M8" s="662" t="s">
        <v>144</v>
      </c>
      <c r="N8" s="553" t="s">
        <v>145</v>
      </c>
    </row>
    <row r="9" spans="1:14" ht="51.75">
      <c r="A9" s="663"/>
      <c r="B9" s="663"/>
      <c r="C9" s="6" t="s">
        <v>638</v>
      </c>
      <c r="D9" s="6" t="s">
        <v>636</v>
      </c>
      <c r="E9" s="6" t="s">
        <v>637</v>
      </c>
      <c r="F9" s="6" t="s">
        <v>105</v>
      </c>
      <c r="G9" s="6" t="s">
        <v>229</v>
      </c>
      <c r="H9" s="6" t="s">
        <v>638</v>
      </c>
      <c r="I9" s="6" t="s">
        <v>636</v>
      </c>
      <c r="J9" s="6" t="s">
        <v>637</v>
      </c>
      <c r="K9" s="6" t="s">
        <v>105</v>
      </c>
      <c r="L9" s="6" t="s">
        <v>228</v>
      </c>
      <c r="M9" s="663"/>
      <c r="N9" s="553"/>
    </row>
    <row r="10" spans="1:14" s="13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3</v>
      </c>
      <c r="I10" s="6">
        <v>4</v>
      </c>
      <c r="J10" s="6">
        <v>5</v>
      </c>
      <c r="K10" s="6">
        <v>6</v>
      </c>
      <c r="L10" s="6">
        <v>12</v>
      </c>
      <c r="M10" s="6">
        <v>13</v>
      </c>
      <c r="N10" s="6">
        <v>14</v>
      </c>
    </row>
    <row r="11" spans="1:24" ht="22.5" customHeight="1">
      <c r="A11" s="203">
        <v>1</v>
      </c>
      <c r="B11" s="106" t="s">
        <v>632</v>
      </c>
      <c r="C11" s="490">
        <v>125</v>
      </c>
      <c r="D11" s="490">
        <v>0</v>
      </c>
      <c r="E11" s="490">
        <v>5</v>
      </c>
      <c r="F11" s="490">
        <v>0</v>
      </c>
      <c r="G11" s="490">
        <f>SUM(C11:F11)</f>
        <v>130</v>
      </c>
      <c r="H11" s="490">
        <v>125</v>
      </c>
      <c r="I11" s="490">
        <v>0</v>
      </c>
      <c r="J11" s="490">
        <v>5</v>
      </c>
      <c r="K11" s="490">
        <v>0</v>
      </c>
      <c r="L11" s="490">
        <f>SUM(H11:K11)</f>
        <v>130</v>
      </c>
      <c r="M11" s="313">
        <f>G11-L11</f>
        <v>0</v>
      </c>
      <c r="N11" s="203"/>
      <c r="O11" s="490">
        <f>SUM(K11:N11)</f>
        <v>130</v>
      </c>
      <c r="P11">
        <v>106</v>
      </c>
      <c r="Q11">
        <v>30</v>
      </c>
      <c r="R11">
        <v>5</v>
      </c>
      <c r="S11">
        <v>0</v>
      </c>
      <c r="T11">
        <f>C11-P11</f>
        <v>19</v>
      </c>
      <c r="U11">
        <f aca="true" t="shared" si="0" ref="U11:W14">D11-Q11</f>
        <v>-30</v>
      </c>
      <c r="V11">
        <f t="shared" si="0"/>
        <v>0</v>
      </c>
      <c r="W11">
        <f t="shared" si="0"/>
        <v>0</v>
      </c>
      <c r="X11">
        <f>SUM(T11:W11)</f>
        <v>-11</v>
      </c>
    </row>
    <row r="12" spans="1:24" ht="30.75" customHeight="1">
      <c r="A12" s="203">
        <v>2</v>
      </c>
      <c r="B12" s="106" t="s">
        <v>633</v>
      </c>
      <c r="C12" s="490">
        <v>96</v>
      </c>
      <c r="D12" s="490">
        <v>1</v>
      </c>
      <c r="E12" s="490">
        <v>1</v>
      </c>
      <c r="F12" s="490">
        <v>0</v>
      </c>
      <c r="G12" s="490">
        <f>SUM(C12:F12)</f>
        <v>98</v>
      </c>
      <c r="H12" s="490">
        <v>96</v>
      </c>
      <c r="I12" s="490">
        <v>1</v>
      </c>
      <c r="J12" s="490">
        <v>1</v>
      </c>
      <c r="K12" s="490">
        <v>0</v>
      </c>
      <c r="L12" s="490">
        <f>SUM(H12:K12)</f>
        <v>98</v>
      </c>
      <c r="M12" s="313">
        <f>G12-L12</f>
        <v>0</v>
      </c>
      <c r="N12" s="203"/>
      <c r="O12" s="490">
        <f>SUM(K12:N12)</f>
        <v>98</v>
      </c>
      <c r="P12">
        <v>131</v>
      </c>
      <c r="Q12">
        <v>13</v>
      </c>
      <c r="R12">
        <v>1</v>
      </c>
      <c r="S12">
        <v>0</v>
      </c>
      <c r="T12">
        <f>C12-P12</f>
        <v>-35</v>
      </c>
      <c r="U12">
        <f t="shared" si="0"/>
        <v>-12</v>
      </c>
      <c r="V12">
        <f t="shared" si="0"/>
        <v>0</v>
      </c>
      <c r="W12">
        <f t="shared" si="0"/>
        <v>0</v>
      </c>
      <c r="X12">
        <f>SUM(T12:W12)</f>
        <v>-47</v>
      </c>
    </row>
    <row r="13" spans="1:24" ht="21" customHeight="1">
      <c r="A13" s="203">
        <v>3</v>
      </c>
      <c r="B13" s="106" t="s">
        <v>634</v>
      </c>
      <c r="C13" s="490">
        <v>33</v>
      </c>
      <c r="D13" s="490">
        <v>0</v>
      </c>
      <c r="E13" s="490">
        <v>0</v>
      </c>
      <c r="F13" s="490">
        <v>0</v>
      </c>
      <c r="G13" s="490">
        <f>SUM(C13:F13)</f>
        <v>33</v>
      </c>
      <c r="H13" s="490">
        <v>33</v>
      </c>
      <c r="I13" s="490">
        <v>0</v>
      </c>
      <c r="J13" s="490">
        <v>0</v>
      </c>
      <c r="K13" s="490">
        <v>0</v>
      </c>
      <c r="L13" s="490">
        <f>SUM(H13:K13)</f>
        <v>33</v>
      </c>
      <c r="M13" s="313">
        <f>G13-L13</f>
        <v>0</v>
      </c>
      <c r="N13" s="203"/>
      <c r="O13" s="490">
        <f>SUM(K13:N13)</f>
        <v>33</v>
      </c>
      <c r="P13">
        <v>44</v>
      </c>
      <c r="Q13">
        <v>18</v>
      </c>
      <c r="R13">
        <v>0</v>
      </c>
      <c r="S13">
        <v>0</v>
      </c>
      <c r="T13">
        <f>C13-P13</f>
        <v>-11</v>
      </c>
      <c r="U13">
        <f t="shared" si="0"/>
        <v>-18</v>
      </c>
      <c r="V13">
        <f t="shared" si="0"/>
        <v>0</v>
      </c>
      <c r="W13">
        <f t="shared" si="0"/>
        <v>0</v>
      </c>
      <c r="X13">
        <f>SUM(T13:W13)</f>
        <v>-29</v>
      </c>
    </row>
    <row r="14" spans="1:24" ht="31.5" customHeight="1">
      <c r="A14" s="203">
        <v>4</v>
      </c>
      <c r="B14" s="106" t="s">
        <v>635</v>
      </c>
      <c r="C14" s="490">
        <v>109</v>
      </c>
      <c r="D14" s="490">
        <v>0</v>
      </c>
      <c r="E14" s="490">
        <v>0</v>
      </c>
      <c r="F14" s="490">
        <v>0</v>
      </c>
      <c r="G14" s="490">
        <f>SUM(C14:F14)</f>
        <v>109</v>
      </c>
      <c r="H14" s="490">
        <v>109</v>
      </c>
      <c r="I14" s="490">
        <v>0</v>
      </c>
      <c r="J14" s="490">
        <v>0</v>
      </c>
      <c r="K14" s="490">
        <v>0</v>
      </c>
      <c r="L14" s="490">
        <f>SUM(H14:K14)</f>
        <v>109</v>
      </c>
      <c r="M14" s="313">
        <f>G14-L14</f>
        <v>0</v>
      </c>
      <c r="N14" s="203"/>
      <c r="O14" s="490">
        <f>SUM(K14:N14)</f>
        <v>109</v>
      </c>
      <c r="P14">
        <v>120</v>
      </c>
      <c r="Q14">
        <v>26</v>
      </c>
      <c r="R14">
        <v>4</v>
      </c>
      <c r="S14">
        <v>0</v>
      </c>
      <c r="T14">
        <f>C14-P14</f>
        <v>-11</v>
      </c>
      <c r="U14">
        <f t="shared" si="0"/>
        <v>-26</v>
      </c>
      <c r="V14">
        <f t="shared" si="0"/>
        <v>-4</v>
      </c>
      <c r="W14">
        <f t="shared" si="0"/>
        <v>0</v>
      </c>
      <c r="X14">
        <f>SUM(T14:W14)</f>
        <v>-41</v>
      </c>
    </row>
    <row r="15" spans="1:24" ht="33.75" customHeight="1">
      <c r="A15" s="665" t="s">
        <v>19</v>
      </c>
      <c r="B15" s="666"/>
      <c r="C15" s="491">
        <f>SUM(C11:C14)</f>
        <v>363</v>
      </c>
      <c r="D15" s="491">
        <f>SUM(D11:D14)</f>
        <v>1</v>
      </c>
      <c r="E15" s="491">
        <f>SUM(E11:E14)</f>
        <v>6</v>
      </c>
      <c r="F15" s="491">
        <f>SUM(F11:F14)</f>
        <v>0</v>
      </c>
      <c r="G15" s="492">
        <f>SUM(C15:F15)</f>
        <v>370</v>
      </c>
      <c r="H15" s="491">
        <f>SUM(H11:H14)</f>
        <v>363</v>
      </c>
      <c r="I15" s="491">
        <f>SUM(I11:I14)</f>
        <v>1</v>
      </c>
      <c r="J15" s="491">
        <f>SUM(J11:J14)</f>
        <v>6</v>
      </c>
      <c r="K15" s="491">
        <f>SUM(K11:K14)</f>
        <v>0</v>
      </c>
      <c r="L15" s="492">
        <f>SUM(H15:K15)</f>
        <v>370</v>
      </c>
      <c r="M15" s="204">
        <f>G15-L15</f>
        <v>0</v>
      </c>
      <c r="N15" s="106"/>
      <c r="T15">
        <f>SUM(T11:T14)</f>
        <v>-38</v>
      </c>
      <c r="U15">
        <f>SUM(U11:U14)</f>
        <v>-86</v>
      </c>
      <c r="V15">
        <f>SUM(V11:V14)</f>
        <v>-4</v>
      </c>
      <c r="W15">
        <f>SUM(W11:W14)</f>
        <v>0</v>
      </c>
      <c r="X15">
        <f>SUM(T15:W15)</f>
        <v>-128</v>
      </c>
    </row>
    <row r="16" ht="12.75">
      <c r="A16" s="3"/>
    </row>
    <row r="17" spans="1:7" ht="12">
      <c r="A17" s="11" t="s">
        <v>8</v>
      </c>
      <c r="G17" s="439"/>
    </row>
    <row r="18" ht="12">
      <c r="A18" t="s">
        <v>9</v>
      </c>
    </row>
    <row r="19" spans="1:14" ht="12.75">
      <c r="A19" t="s">
        <v>10</v>
      </c>
      <c r="L19" s="3" t="s">
        <v>11</v>
      </c>
      <c r="M19" s="3"/>
      <c r="N19" s="3" t="s">
        <v>11</v>
      </c>
    </row>
    <row r="20" spans="1:12" ht="12.75">
      <c r="A20" s="2" t="s">
        <v>465</v>
      </c>
      <c r="J20" s="3"/>
      <c r="K20" s="3"/>
      <c r="L20" s="3"/>
    </row>
    <row r="21" ht="12">
      <c r="C21" s="2" t="s">
        <v>466</v>
      </c>
    </row>
    <row r="28" spans="1:14" ht="15">
      <c r="A28" s="12" t="s">
        <v>12</v>
      </c>
      <c r="B28" s="12"/>
      <c r="C28" s="12"/>
      <c r="D28" s="12"/>
      <c r="E28" s="12"/>
      <c r="F28" s="12"/>
      <c r="G28" s="12"/>
      <c r="H28" s="12"/>
      <c r="L28" s="655" t="s">
        <v>13</v>
      </c>
      <c r="M28" s="655"/>
      <c r="N28" s="655"/>
    </row>
    <row r="29" spans="1:14" ht="15">
      <c r="A29" s="655" t="s">
        <v>14</v>
      </c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</row>
    <row r="30" spans="1:14" ht="15">
      <c r="A30" s="655" t="s">
        <v>15</v>
      </c>
      <c r="B30" s="655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</row>
    <row r="31" spans="12:14" ht="12.75">
      <c r="L31" s="579"/>
      <c r="M31" s="579"/>
      <c r="N31" s="579"/>
    </row>
    <row r="32" spans="1:14" ht="12">
      <c r="A32" s="654"/>
      <c r="B32" s="654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</row>
    <row r="36" ht="15.75" customHeight="1"/>
    <row r="37" ht="15.75" customHeight="1"/>
  </sheetData>
  <sheetProtection/>
  <mergeCells count="18">
    <mergeCell ref="C8:G8"/>
    <mergeCell ref="H8:L8"/>
    <mergeCell ref="D1:J1"/>
    <mergeCell ref="A2:N2"/>
    <mergeCell ref="A3:N3"/>
    <mergeCell ref="A5:N5"/>
    <mergeCell ref="L7:N7"/>
    <mergeCell ref="A7:B7"/>
    <mergeCell ref="A15:B15"/>
    <mergeCell ref="A32:N32"/>
    <mergeCell ref="L28:N28"/>
    <mergeCell ref="A29:N29"/>
    <mergeCell ref="M8:M9"/>
    <mergeCell ref="N8:N9"/>
    <mergeCell ref="L31:N31"/>
    <mergeCell ref="A30:N30"/>
    <mergeCell ref="A8:A9"/>
    <mergeCell ref="B8:B9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80" zoomScaleSheetLayoutView="80" zoomScalePageLayoutView="0" workbookViewId="0" topLeftCell="A1">
      <selection activeCell="T12" sqref="T12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585"/>
      <c r="E1" s="585"/>
      <c r="F1" s="585"/>
      <c r="G1" s="585"/>
      <c r="H1" s="585"/>
      <c r="I1" s="585"/>
      <c r="J1" s="585"/>
      <c r="M1" s="70" t="s">
        <v>280</v>
      </c>
    </row>
    <row r="2" spans="1:14" ht="15">
      <c r="A2" s="667" t="s">
        <v>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</row>
    <row r="3" spans="1:14" ht="19.5">
      <c r="A3" s="583" t="s">
        <v>841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</row>
    <row r="4" ht="11.25" customHeight="1"/>
    <row r="5" spans="1:14" ht="15">
      <c r="A5" s="584" t="s">
        <v>867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</row>
    <row r="7" spans="1:15" ht="12.75">
      <c r="A7" s="579" t="s">
        <v>643</v>
      </c>
      <c r="B7" s="579"/>
      <c r="L7" s="661" t="s">
        <v>843</v>
      </c>
      <c r="M7" s="661"/>
      <c r="N7" s="661"/>
      <c r="O7" s="52"/>
    </row>
    <row r="8" spans="1:14" ht="15.75" customHeight="1">
      <c r="A8" s="662" t="s">
        <v>2</v>
      </c>
      <c r="B8" s="662" t="s">
        <v>3</v>
      </c>
      <c r="C8" s="552" t="s">
        <v>4</v>
      </c>
      <c r="D8" s="552"/>
      <c r="E8" s="552"/>
      <c r="F8" s="574"/>
      <c r="G8" s="574"/>
      <c r="H8" s="552" t="s">
        <v>107</v>
      </c>
      <c r="I8" s="552"/>
      <c r="J8" s="552"/>
      <c r="K8" s="552"/>
      <c r="L8" s="552"/>
      <c r="M8" s="662" t="s">
        <v>144</v>
      </c>
      <c r="N8" s="553" t="s">
        <v>145</v>
      </c>
    </row>
    <row r="9" spans="1:14" ht="39">
      <c r="A9" s="663"/>
      <c r="B9" s="663"/>
      <c r="C9" s="6" t="s">
        <v>5</v>
      </c>
      <c r="D9" s="6" t="s">
        <v>6</v>
      </c>
      <c r="E9" s="6" t="s">
        <v>381</v>
      </c>
      <c r="F9" s="6" t="s">
        <v>105</v>
      </c>
      <c r="G9" s="6" t="s">
        <v>127</v>
      </c>
      <c r="H9" s="6" t="s">
        <v>5</v>
      </c>
      <c r="I9" s="6" t="s">
        <v>6</v>
      </c>
      <c r="J9" s="6" t="s">
        <v>381</v>
      </c>
      <c r="K9" s="8" t="s">
        <v>105</v>
      </c>
      <c r="L9" s="8" t="s">
        <v>128</v>
      </c>
      <c r="M9" s="663"/>
      <c r="N9" s="553"/>
    </row>
    <row r="10" spans="1:14" s="13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4">
        <v>11</v>
      </c>
      <c r="L10" s="75">
        <v>12</v>
      </c>
      <c r="M10" s="75">
        <v>13</v>
      </c>
      <c r="N10" s="4">
        <v>14</v>
      </c>
    </row>
    <row r="11" spans="1:14" ht="31.5" customHeight="1">
      <c r="A11" s="203">
        <v>1</v>
      </c>
      <c r="B11" s="106" t="s">
        <v>632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219">
        <v>0</v>
      </c>
      <c r="N11" s="10"/>
    </row>
    <row r="12" spans="1:14" ht="33.75" customHeight="1">
      <c r="A12" s="203">
        <v>2</v>
      </c>
      <c r="B12" s="106" t="s">
        <v>633</v>
      </c>
      <c r="C12" s="219">
        <v>0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v>0</v>
      </c>
      <c r="N12" s="10"/>
    </row>
    <row r="13" spans="1:14" ht="35.25" customHeight="1">
      <c r="A13" s="203">
        <v>3</v>
      </c>
      <c r="B13" s="106" t="s">
        <v>634</v>
      </c>
      <c r="C13" s="219">
        <v>0</v>
      </c>
      <c r="D13" s="219">
        <v>0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10"/>
    </row>
    <row r="14" spans="1:14" ht="32.25" customHeight="1">
      <c r="A14" s="203">
        <v>4</v>
      </c>
      <c r="B14" s="106" t="s">
        <v>635</v>
      </c>
      <c r="C14" s="219">
        <v>0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10"/>
    </row>
    <row r="15" spans="1:14" ht="31.5" customHeight="1">
      <c r="A15" s="665" t="s">
        <v>19</v>
      </c>
      <c r="B15" s="666"/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10"/>
    </row>
    <row r="16" ht="12.75">
      <c r="A16" s="3"/>
    </row>
    <row r="17" ht="12">
      <c r="A17" s="11" t="s">
        <v>8</v>
      </c>
    </row>
    <row r="18" ht="12">
      <c r="A18" t="s">
        <v>9</v>
      </c>
    </row>
    <row r="19" spans="1:14" ht="12.75">
      <c r="A19" t="s">
        <v>10</v>
      </c>
      <c r="K19" s="3" t="s">
        <v>11</v>
      </c>
      <c r="L19" s="3" t="s">
        <v>11</v>
      </c>
      <c r="M19" s="3"/>
      <c r="N19" s="3" t="s">
        <v>11</v>
      </c>
    </row>
    <row r="20" spans="1:12" ht="12.75">
      <c r="A20" s="2" t="s">
        <v>465</v>
      </c>
      <c r="J20" s="3"/>
      <c r="K20" s="3"/>
      <c r="L20" s="3"/>
    </row>
    <row r="21" ht="12">
      <c r="C21" s="2" t="s">
        <v>466</v>
      </c>
    </row>
    <row r="22" ht="12">
      <c r="C22" s="2"/>
    </row>
    <row r="23" ht="12">
      <c r="C23" s="2"/>
    </row>
    <row r="24" ht="12">
      <c r="C24" s="2"/>
    </row>
    <row r="25" ht="12">
      <c r="C25" s="2"/>
    </row>
    <row r="26" ht="12">
      <c r="C26" s="2"/>
    </row>
    <row r="29" spans="1:14" ht="15">
      <c r="A29" s="12" t="s">
        <v>12</v>
      </c>
      <c r="B29" s="12"/>
      <c r="C29" s="12"/>
      <c r="D29" s="12"/>
      <c r="E29" s="12"/>
      <c r="F29" s="12"/>
      <c r="G29" s="12"/>
      <c r="H29" s="12"/>
      <c r="K29" s="13"/>
      <c r="L29" s="655" t="s">
        <v>13</v>
      </c>
      <c r="M29" s="655"/>
      <c r="N29" s="655"/>
    </row>
    <row r="30" spans="1:14" ht="15">
      <c r="A30" s="655" t="s">
        <v>14</v>
      </c>
      <c r="B30" s="655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</row>
    <row r="31" spans="1:14" ht="15">
      <c r="A31" s="655" t="s">
        <v>15</v>
      </c>
      <c r="B31" s="655"/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</row>
    <row r="32" spans="11:14" ht="12.75">
      <c r="K32" s="579" t="s">
        <v>86</v>
      </c>
      <c r="L32" s="579"/>
      <c r="M32" s="579"/>
      <c r="N32" s="579"/>
    </row>
    <row r="33" spans="1:14" ht="12">
      <c r="A33" s="654"/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</row>
    <row r="36" ht="15.75" customHeight="1"/>
    <row r="37" ht="15.75" customHeight="1"/>
  </sheetData>
  <sheetProtection/>
  <mergeCells count="18">
    <mergeCell ref="A33:N33"/>
    <mergeCell ref="N8:N9"/>
    <mergeCell ref="L29:N29"/>
    <mergeCell ref="A30:N30"/>
    <mergeCell ref="A31:N31"/>
    <mergeCell ref="K32:N32"/>
    <mergeCell ref="A8:A9"/>
    <mergeCell ref="B8:B9"/>
    <mergeCell ref="C8:G8"/>
    <mergeCell ref="H8:L8"/>
    <mergeCell ref="A15:B15"/>
    <mergeCell ref="M8:M9"/>
    <mergeCell ref="A7:B7"/>
    <mergeCell ref="D1:J1"/>
    <mergeCell ref="A2:N2"/>
    <mergeCell ref="A3:N3"/>
    <mergeCell ref="A5:N5"/>
    <mergeCell ref="L7:N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2019-04-27T05:21:52Z</cp:lastPrinted>
  <dcterms:created xsi:type="dcterms:W3CDTF">1996-10-14T23:33:28Z</dcterms:created>
  <dcterms:modified xsi:type="dcterms:W3CDTF">2019-07-05T06:07:21Z</dcterms:modified>
  <cp:category/>
  <cp:version/>
  <cp:contentType/>
  <cp:contentStatus/>
</cp:coreProperties>
</file>